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'Hoja1'!$G$2:$K$90</definedName>
  </definedNames>
  <calcPr fullCalcOnLoad="1"/>
</workbook>
</file>

<file path=xl/sharedStrings.xml><?xml version="1.0" encoding="utf-8"?>
<sst xmlns="http://schemas.openxmlformats.org/spreadsheetml/2006/main" count="403" uniqueCount="179">
  <si>
    <t>COMPAÑÍA ABC</t>
  </si>
  <si>
    <t>ACTIVO CIRCULANTE</t>
  </si>
  <si>
    <t>Caja y Bancos</t>
  </si>
  <si>
    <t>Clientes</t>
  </si>
  <si>
    <t>Deudores Diversos</t>
  </si>
  <si>
    <t>Inventarios</t>
  </si>
  <si>
    <t>Anticipos ISR (PP)</t>
  </si>
  <si>
    <t>Acciones, Bonos y Valores</t>
  </si>
  <si>
    <t>Depósitos en Garantía</t>
  </si>
  <si>
    <t>Total de Activo Circulante</t>
  </si>
  <si>
    <t>ACTIVO FIJO</t>
  </si>
  <si>
    <t>Equipo de Transporte</t>
  </si>
  <si>
    <t>Mobiliario y Equipo</t>
  </si>
  <si>
    <t>Maquinaria y Equipo</t>
  </si>
  <si>
    <t>Valor a Costo de Adquisición</t>
  </si>
  <si>
    <t>Actualización AF (B10)</t>
  </si>
  <si>
    <t>Depreciación Acumulada</t>
  </si>
  <si>
    <t>Total de Activo Fijo NETO</t>
  </si>
  <si>
    <t>OTROS ACTIVOS</t>
  </si>
  <si>
    <t>Instalaciones</t>
  </si>
  <si>
    <t>Gastos de Organización</t>
  </si>
  <si>
    <t>COSTO DE ADQUISICION</t>
  </si>
  <si>
    <t>Actualización de Instalaciones</t>
  </si>
  <si>
    <t>Amortización Acumulada</t>
  </si>
  <si>
    <t>OTROS ACTIVOS NETOS</t>
  </si>
  <si>
    <t>ACTIVO TOTAL</t>
  </si>
  <si>
    <t>Proveedores</t>
  </si>
  <si>
    <t>Impuestos por Pagar</t>
  </si>
  <si>
    <t>Documentos por Pagar</t>
  </si>
  <si>
    <t>Provisión de ISR</t>
  </si>
  <si>
    <t>Total de Pasivo Circulante (Cplazo)</t>
  </si>
  <si>
    <t>PASIVO FIJO (Largo Plazo)</t>
  </si>
  <si>
    <t>Acreedores Diversos</t>
  </si>
  <si>
    <t>Crédito Hipotecario Industrial</t>
  </si>
  <si>
    <t>CAPITAL CONTABLE</t>
  </si>
  <si>
    <t>Capital Social</t>
  </si>
  <si>
    <t>Reservas de Capital</t>
  </si>
  <si>
    <t>Actualización del Capital</t>
  </si>
  <si>
    <t>Resultado de Ejercios Anteriores</t>
  </si>
  <si>
    <t>Resultado del Ejercicio</t>
  </si>
  <si>
    <t>TOTAL DE CAPITAL CONTABLE</t>
  </si>
  <si>
    <t>Ventas Netas</t>
  </si>
  <si>
    <t>Costo de Ventas</t>
  </si>
  <si>
    <t>UTILIDAD BRUTA</t>
  </si>
  <si>
    <t>Gastos de Administración</t>
  </si>
  <si>
    <t>Gastos de Venta</t>
  </si>
  <si>
    <t>UTILIDAD DE OPERACIÓN</t>
  </si>
  <si>
    <t>UTILIDAD ANTES DE ISR y PTU</t>
  </si>
  <si>
    <t>ISR y PTU</t>
  </si>
  <si>
    <t>UTILIDAD NETA</t>
  </si>
  <si>
    <t>Gastos de Operación</t>
  </si>
  <si>
    <t>RAZONES DE LIQUIDEZ</t>
  </si>
  <si>
    <t>Razón Circulante       A.C./P.C.=</t>
  </si>
  <si>
    <t>Prueba del Acido       A.C.-Inv/PC</t>
  </si>
  <si>
    <t>RAZONES DE SOLVENCIA/ENDEUDAMIENTO</t>
  </si>
  <si>
    <t>RAZONES DE ACTIVIDAD</t>
  </si>
  <si>
    <t>Rotación de Cuentas por Cobrar o Cartera</t>
  </si>
  <si>
    <t>Promedio de CxC / Vtas Netas Diarias</t>
  </si>
  <si>
    <t>Rotación de Activos Fijos</t>
  </si>
  <si>
    <t>Vtas. Netas Anualiz./AF Neto Actualiz.</t>
  </si>
  <si>
    <t>Rotación del Activo Total</t>
  </si>
  <si>
    <t>RAZONES DE RENDIMIENTO</t>
  </si>
  <si>
    <t>Rendimiento sobre la inversión</t>
  </si>
  <si>
    <t>Utilidad Neta / Capital Contable</t>
  </si>
  <si>
    <t>Rendimiento del Activo Total</t>
  </si>
  <si>
    <t>Utilidad Neta / Act. Total Revaluado</t>
  </si>
  <si>
    <t>o Revaluado</t>
  </si>
  <si>
    <t>Cobertura de Intereses</t>
  </si>
  <si>
    <t>Utilidad de Oper. / Inter. Devengados</t>
  </si>
  <si>
    <t>Costo Integ. de Financ. o Int. Deveng</t>
  </si>
  <si>
    <t>Utilidad Neta vs Ventas Netas</t>
  </si>
  <si>
    <t>Utilidad Neta/Ventas Netas</t>
  </si>
  <si>
    <t>OTRAS RAZONES Y PROPORCIONES</t>
  </si>
  <si>
    <t>Costo de Ventas/Ventas Netas</t>
  </si>
  <si>
    <t>Gastos de Admón./Ventas Netas</t>
  </si>
  <si>
    <t>Gastos de Ventas / Ventas Netas</t>
  </si>
  <si>
    <t>Gastos Financieros / Ventas Netas</t>
  </si>
  <si>
    <t>TOTAL DE PASIVO Y CAPITAL</t>
  </si>
  <si>
    <t>deuda (en cuanto al pago de los intereses) es muy baja. Se recomienda que modifique</t>
  </si>
  <si>
    <t>Es probable que la empresa tenga inventarios obsoletos, su liquidez está disminuida.</t>
  </si>
  <si>
    <t>recuperar sus ventas.</t>
  </si>
  <si>
    <t>respectivamente. Lo anterior significa que el volumen de ventas generado por la</t>
  </si>
  <si>
    <t>inversión es bajo, lo que concluye que su capacidad instalada es alta y desafortunada-</t>
  </si>
  <si>
    <t>mente desaprovechada.</t>
  </si>
  <si>
    <t>El rendimiento de la inversión de los accionistas es también bajo, pues solo está</t>
  </si>
  <si>
    <t>capacidad para pagar los intereses es baja.</t>
  </si>
  <si>
    <t>PASIVO TOTAL</t>
  </si>
  <si>
    <t>Su rotación de inventarios de 6.83 veces al año es baja</t>
  </si>
  <si>
    <t>La rotación de las CxC es muy buena, es decir el período en que cobra lo vendido, ya que</t>
  </si>
  <si>
    <t>en una época conflictiva como la actual, la empresa tiene 22.16 días de plazo para</t>
  </si>
  <si>
    <t>TOTAL PASIVO FIJO</t>
  </si>
  <si>
    <t>12/31/2003</t>
  </si>
  <si>
    <t xml:space="preserve">   ESTADO DEL RESULTADOS POR EL</t>
  </si>
  <si>
    <t xml:space="preserve">                                            PERIODO COMPRENDIDO DEL:</t>
  </si>
  <si>
    <t>FACTOR DE UTILIDAD</t>
  </si>
  <si>
    <t>Liquidez significa la capacidad de pago que tiene una empresa para cubrir sus necesidades de corto plazo</t>
  </si>
  <si>
    <t>Es la proporción en veces en que la empresa puede hacer frente a su deuda en el corto plazo.</t>
  </si>
  <si>
    <t>Son los pesos de Activo disponible para pagar los Pasivos a Corto Plazo, sin considerar la venta de sus inventarios</t>
  </si>
  <si>
    <t>Es la proporción de endeudamiento que tiene la empresa, siendo ésta el total de recursos que tiene la empresa</t>
  </si>
  <si>
    <t>en operación. También se interpreta como los $ en riesgo que tienen los acreedores por cada peso invertido</t>
  </si>
  <si>
    <r>
      <t>(</t>
    </r>
    <r>
      <rPr>
        <b/>
        <i/>
        <sz val="10"/>
        <color indexed="10"/>
        <rFont val="Comic Sans MS"/>
        <family val="4"/>
      </rPr>
      <t>Endeudamiento</t>
    </r>
    <r>
      <rPr>
        <b/>
        <i/>
        <sz val="14"/>
        <color indexed="18"/>
        <rFont val="Comic Sans MS"/>
        <family val="4"/>
      </rPr>
      <t>) Pasivo Total/Activo Total (x) 100</t>
    </r>
  </si>
  <si>
    <r>
      <t>(</t>
    </r>
    <r>
      <rPr>
        <b/>
        <i/>
        <sz val="10"/>
        <color indexed="10"/>
        <rFont val="Comic Sans MS"/>
        <family val="4"/>
      </rPr>
      <t>Inversión Propia</t>
    </r>
    <r>
      <rPr>
        <b/>
        <i/>
        <sz val="14"/>
        <color indexed="18"/>
        <rFont val="Comic Sans MS"/>
        <family val="4"/>
      </rPr>
      <t>) Capital Contable/Act Total (x) 100</t>
    </r>
  </si>
  <si>
    <r>
      <t>(</t>
    </r>
    <r>
      <rPr>
        <b/>
        <i/>
        <sz val="10"/>
        <color indexed="10"/>
        <rFont val="Comic Sans MS"/>
        <family val="4"/>
      </rPr>
      <t>Apalancamiento</t>
    </r>
    <r>
      <rPr>
        <b/>
        <i/>
        <sz val="14"/>
        <color indexed="18"/>
        <rFont val="Comic Sans MS"/>
        <family val="4"/>
      </rPr>
      <t>) Pasivo Total/Capital Contable</t>
    </r>
  </si>
  <si>
    <t>Rotación de Inventarios</t>
  </si>
  <si>
    <t>C de Vtas/Prom. Inv.</t>
  </si>
  <si>
    <t>Ventas Netas Anualizadas/Promedio de Inventarios</t>
  </si>
  <si>
    <t>Veces por año que se venden los inventarios a precio de venta</t>
  </si>
  <si>
    <t>O bien:</t>
  </si>
  <si>
    <t>Promedio de Inventarios/V.Netas Anualizadasx365</t>
  </si>
  <si>
    <t>x 365</t>
  </si>
  <si>
    <t>días utilizados</t>
  </si>
  <si>
    <t>en c/rotación</t>
  </si>
  <si>
    <t>Promedio de Inventarios/V.Netas Diarias</t>
  </si>
  <si>
    <t>Días de venta</t>
  </si>
  <si>
    <t>invertidos en</t>
  </si>
  <si>
    <t>inventarios</t>
  </si>
  <si>
    <t>veces por año</t>
  </si>
  <si>
    <t>inventarios a costo</t>
  </si>
  <si>
    <t>que se utilizan los</t>
  </si>
  <si>
    <t>días de recuperación o</t>
  </si>
  <si>
    <t>tiempo en cobrar las vtas.</t>
  </si>
  <si>
    <t>Promedio de CxC /Vtas Netas Anualizadas x 365</t>
  </si>
  <si>
    <t>Veces de rotación</t>
  </si>
  <si>
    <t>o pesos de venta</t>
  </si>
  <si>
    <t>por c/1.00 de inversión</t>
  </si>
  <si>
    <t>mas $ de venta con menos pesos de inversión</t>
  </si>
  <si>
    <t>Son las veces que cada peso de AF generó Ventas Netas. Lo ideal sería que generara</t>
  </si>
  <si>
    <t>Vtas. Netas Anualiz./A Total Actualiz.y/o Reval.</t>
  </si>
  <si>
    <t>Es similar a la anterior</t>
  </si>
  <si>
    <t>pero se refiere a las</t>
  </si>
  <si>
    <t>vtas generadas por c/</t>
  </si>
  <si>
    <t>1.00 de AT invertido</t>
  </si>
  <si>
    <t xml:space="preserve">   ESTADO DE POSICION FINANCIERA AL:</t>
  </si>
  <si>
    <t>PASIVO CIRCULANTE (Corto Plazo)</t>
  </si>
  <si>
    <t>Sueldos y Salarios por Pagar</t>
  </si>
  <si>
    <t>12/31/2004</t>
  </si>
  <si>
    <t>La liquidez es apenas suficiente, ya que tiene una inversión alta en</t>
  </si>
  <si>
    <t>Inventarios. La compañía ya tiene problemas de liquidez,</t>
  </si>
  <si>
    <t>sobre todo con el pago a proveedores (Corto plazo) y acreedores (L. Plazo)</t>
  </si>
  <si>
    <t>El apalancamiento es alto (69.91%), es decir la compañía tiene una</t>
  </si>
  <si>
    <t>deuda no aceptable respecto al total de sus inversiones que son el 30.09%.</t>
  </si>
  <si>
    <t>Su capacidad para generar utilidades para pagar la carga financiera de la</t>
  </si>
  <si>
    <t>Su política de ventas a crédito  es a 15 días.</t>
  </si>
  <si>
    <t>La rotación de inventarios promedio del mercado es de 12 vueltas</t>
  </si>
  <si>
    <t>flujo de efectivo y pagar a Proveedores, Acreedores, Crédito Hipotecario y revisar</t>
  </si>
  <si>
    <t>su pago de comisiones a vendedores ya que tiene serios problemas para pagar.</t>
  </si>
  <si>
    <t>su flujo de efectivo. El apalancamiento es inaceptable, se sugiere mejorar sus ventas,</t>
  </si>
  <si>
    <t>Ambas rotaciones muestran una sobreinversión al mostrar 1.81 y 0.97 veces anuales</t>
  </si>
  <si>
    <t>dando el 6.27% y el rendimiento del Activo total es tan solo del 1.89%</t>
  </si>
  <si>
    <t>La carga financiera muy alta para el nivel de operación de la empresa, ya que su</t>
  </si>
  <si>
    <t>El Costo de Ventas es demasiado alto, por ello su margen de utilidad es tan bajo</t>
  </si>
  <si>
    <t>Se recomienda renegociar con Proveedores o sustituirlos por otros que ofrezcan mejores</t>
  </si>
  <si>
    <t>precios.</t>
  </si>
  <si>
    <t>Por otra parte es necesario revisar las comisiones de los vendedores ya que aparentan</t>
  </si>
  <si>
    <t>ser excesivamente altas si las comparamos con los sueldos de administración, además de que</t>
  </si>
  <si>
    <t>empresa tiene constituido un pasivo por este concepto específicamente.</t>
  </si>
  <si>
    <t>12/31/2005</t>
  </si>
  <si>
    <t>12/31/2012</t>
  </si>
  <si>
    <t>12/31/2011</t>
  </si>
  <si>
    <t>COMPAÑÍA TRANSA SA DE CV</t>
  </si>
  <si>
    <t>Total de Otros Activos</t>
  </si>
  <si>
    <t>Clientes ( 1 ) (Ver nota al calce)</t>
  </si>
  <si>
    <t>Inventarios ( 2 )  (Ver nota al calce)</t>
  </si>
  <si>
    <t>( 1 ) Su política de ventas a crédito  es a 15 días.</t>
  </si>
  <si>
    <t>( 2 ) La rotación de inventarios promedio del mercado es de 12 vueltas</t>
  </si>
  <si>
    <t>% Integración</t>
  </si>
  <si>
    <t>% Vs Ventas</t>
  </si>
  <si>
    <t>Total de Gastos de Operación</t>
  </si>
  <si>
    <t xml:space="preserve">                                ESTADO DE POSICION FINANCIERA AL:</t>
  </si>
  <si>
    <t xml:space="preserve"> ESTADO DEL RESULTADOS POR EL</t>
  </si>
  <si>
    <t xml:space="preserve">          COMPAÑÍA TRANSA SA DE CV</t>
  </si>
  <si>
    <t xml:space="preserve">                                          PERIODO COMPRENDIDO DEL</t>
  </si>
  <si>
    <t>cxp</t>
  </si>
  <si>
    <t>CASO PRÁCTICO PARA EFECTOS DE CLASE</t>
  </si>
  <si>
    <t>Liq. Inm (Efectivo y Equival/PC</t>
  </si>
  <si>
    <t>Margen de Seguridad capital de Trab/PC</t>
  </si>
  <si>
    <t>Utilidad antes de Inter e Imptos/Int. Devengados</t>
  </si>
  <si>
    <t>12/31/2020</t>
  </si>
  <si>
    <t>12/31/2019</t>
  </si>
</sst>
</file>

<file path=xl/styles.xml><?xml version="1.0" encoding="utf-8"?>
<styleSheet xmlns="http://schemas.openxmlformats.org/spreadsheetml/2006/main">
  <numFmts count="5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_);\(0.00\)"/>
    <numFmt numFmtId="189" formatCode="0_);\(0\)"/>
    <numFmt numFmtId="190" formatCode="#,##0.0_);\(#,##0.0\)"/>
    <numFmt numFmtId="191" formatCode="0.000_);\(0.000\)"/>
    <numFmt numFmtId="192" formatCode="_(* #,##0.000_);_(* \(#,##0.000\);_(* &quot;-&quot;???_);_(@_)"/>
    <numFmt numFmtId="193" formatCode="_(* #,##0.0_);_(* \(#,##0.0\);_(* &quot;-&quot;?_);_(@_)"/>
    <numFmt numFmtId="194" formatCode="0.0"/>
    <numFmt numFmtId="195" formatCode="0.0000%"/>
    <numFmt numFmtId="196" formatCode="#,##0.0"/>
    <numFmt numFmtId="197" formatCode="#,##0.000"/>
    <numFmt numFmtId="198" formatCode="#,##0.0000"/>
    <numFmt numFmtId="199" formatCode="#,##0.00000"/>
    <numFmt numFmtId="200" formatCode="#,##0_ ;[Red]\-#,##0\ "/>
    <numFmt numFmtId="201" formatCode="#,##0.000000"/>
    <numFmt numFmtId="202" formatCode="#,##0.0000000"/>
    <numFmt numFmtId="203" formatCode="#,##0.00000000"/>
    <numFmt numFmtId="204" formatCode="#,##0.000000000"/>
    <numFmt numFmtId="205" formatCode="#,##0.0;\-#,##0.0"/>
    <numFmt numFmtId="206" formatCode="#,##0.000;\-#,##0.000"/>
    <numFmt numFmtId="207" formatCode="#,##0.0000;\-#,##0.0000"/>
    <numFmt numFmtId="208" formatCode="#,##0.00000;\-#,##0.00000"/>
    <numFmt numFmtId="209" formatCode="0.0000_);\(0.0000\)"/>
  </numFmts>
  <fonts count="65">
    <font>
      <sz val="10"/>
      <name val="Arial"/>
      <family val="0"/>
    </font>
    <font>
      <sz val="12"/>
      <name val="Courier"/>
      <family val="3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8"/>
      <name val="Arial"/>
      <family val="0"/>
    </font>
    <font>
      <b/>
      <sz val="12"/>
      <color indexed="18"/>
      <name val="Courier"/>
      <family val="3"/>
    </font>
    <font>
      <b/>
      <sz val="12"/>
      <color indexed="58"/>
      <name val="Courier"/>
      <family val="3"/>
    </font>
    <font>
      <b/>
      <sz val="10"/>
      <color indexed="58"/>
      <name val="Arial"/>
      <family val="0"/>
    </font>
    <font>
      <b/>
      <sz val="14"/>
      <color indexed="58"/>
      <name val="Courier"/>
      <family val="3"/>
    </font>
    <font>
      <b/>
      <sz val="14"/>
      <color indexed="58"/>
      <name val="Arial"/>
      <family val="0"/>
    </font>
    <font>
      <sz val="14"/>
      <color indexed="58"/>
      <name val="Arial"/>
      <family val="0"/>
    </font>
    <font>
      <b/>
      <sz val="12"/>
      <color indexed="10"/>
      <name val="Comic Sans MS"/>
      <family val="4"/>
    </font>
    <font>
      <b/>
      <sz val="14"/>
      <color indexed="10"/>
      <name val="Comic Sans MS"/>
      <family val="4"/>
    </font>
    <font>
      <b/>
      <i/>
      <sz val="14"/>
      <color indexed="18"/>
      <name val="Comic Sans MS"/>
      <family val="4"/>
    </font>
    <font>
      <b/>
      <sz val="14"/>
      <color indexed="18"/>
      <name val="Courier"/>
      <family val="3"/>
    </font>
    <font>
      <b/>
      <sz val="14"/>
      <color indexed="18"/>
      <name val="Arial"/>
      <family val="0"/>
    </font>
    <font>
      <b/>
      <sz val="14"/>
      <color indexed="18"/>
      <name val="Comic Sans MS"/>
      <family val="4"/>
    </font>
    <font>
      <sz val="12"/>
      <color indexed="18"/>
      <name val="Arial"/>
      <family val="0"/>
    </font>
    <font>
      <sz val="10"/>
      <color indexed="18"/>
      <name val="Arial"/>
      <family val="0"/>
    </font>
    <font>
      <b/>
      <sz val="10"/>
      <color indexed="10"/>
      <name val="Comic Sans MS"/>
      <family val="4"/>
    </font>
    <font>
      <b/>
      <sz val="10"/>
      <color indexed="10"/>
      <name val="Courier"/>
      <family val="3"/>
    </font>
    <font>
      <b/>
      <i/>
      <sz val="10"/>
      <color indexed="10"/>
      <name val="Comic Sans MS"/>
      <family val="4"/>
    </font>
    <font>
      <b/>
      <sz val="12"/>
      <color indexed="10"/>
      <name val="Courier"/>
      <family val="3"/>
    </font>
    <font>
      <b/>
      <sz val="10"/>
      <color indexed="10"/>
      <name val="Arial"/>
      <family val="0"/>
    </font>
    <font>
      <b/>
      <i/>
      <sz val="14"/>
      <color indexed="10"/>
      <name val="Comic Sans MS"/>
      <family val="4"/>
    </font>
    <font>
      <b/>
      <sz val="12"/>
      <color indexed="10"/>
      <name val="Arial"/>
      <family val="2"/>
    </font>
    <font>
      <b/>
      <sz val="12"/>
      <color indexed="18"/>
      <name val="Arial"/>
      <family val="2"/>
    </font>
    <font>
      <b/>
      <u val="single"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10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u val="single"/>
      <sz val="12"/>
      <color rgb="FFFF0000"/>
      <name val="Arial"/>
      <family val="2"/>
    </font>
    <font>
      <b/>
      <sz val="14"/>
      <color rgb="FFFF0000"/>
      <name val="Arial Blac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4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5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7" fillId="21" borderId="6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7" applyNumberFormat="0" applyFill="0" applyAlignment="0" applyProtection="0"/>
    <xf numFmtId="0" fontId="53" fillId="0" borderId="8" applyNumberFormat="0" applyFill="0" applyAlignment="0" applyProtection="0"/>
    <xf numFmtId="0" fontId="62" fillId="0" borderId="9" applyNumberFormat="0" applyFill="0" applyAlignment="0" applyProtection="0"/>
  </cellStyleXfs>
  <cellXfs count="138">
    <xf numFmtId="0" fontId="0" fillId="0" borderId="0" xfId="0" applyAlignment="1">
      <alignment/>
    </xf>
    <xf numFmtId="0" fontId="1" fillId="0" borderId="0" xfId="0" applyFont="1" applyAlignment="1">
      <alignment/>
    </xf>
    <xf numFmtId="1" fontId="5" fillId="0" borderId="0" xfId="0" applyNumberFormat="1" applyFont="1" applyAlignment="1">
      <alignment/>
    </xf>
    <xf numFmtId="37" fontId="5" fillId="0" borderId="10" xfId="0" applyNumberFormat="1" applyFont="1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5" fillId="0" borderId="10" xfId="0" applyNumberFormat="1" applyFont="1" applyBorder="1" applyAlignment="1">
      <alignment/>
    </xf>
    <xf numFmtId="10" fontId="5" fillId="0" borderId="10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10" fontId="5" fillId="0" borderId="0" xfId="0" applyNumberFormat="1" applyFont="1" applyAlignment="1">
      <alignment/>
    </xf>
    <xf numFmtId="3" fontId="5" fillId="0" borderId="12" xfId="0" applyNumberFormat="1" applyFont="1" applyBorder="1" applyAlignment="1">
      <alignment/>
    </xf>
    <xf numFmtId="37" fontId="5" fillId="0" borderId="0" xfId="0" applyNumberFormat="1" applyFont="1" applyAlignment="1">
      <alignment/>
    </xf>
    <xf numFmtId="37" fontId="5" fillId="0" borderId="12" xfId="0" applyNumberFormat="1" applyFont="1" applyBorder="1" applyAlignment="1">
      <alignment/>
    </xf>
    <xf numFmtId="37" fontId="5" fillId="0" borderId="11" xfId="0" applyNumberFormat="1" applyFont="1" applyBorder="1" applyAlignment="1">
      <alignment/>
    </xf>
    <xf numFmtId="37" fontId="5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88" fontId="6" fillId="0" borderId="0" xfId="0" applyNumberFormat="1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5" fillId="0" borderId="0" xfId="0" applyFont="1" applyAlignment="1">
      <alignment/>
    </xf>
    <xf numFmtId="37" fontId="14" fillId="0" borderId="12" xfId="0" applyNumberFormat="1" applyFont="1" applyBorder="1" applyAlignment="1">
      <alignment/>
    </xf>
    <xf numFmtId="37" fontId="14" fillId="0" borderId="0" xfId="0" applyNumberFormat="1" applyFont="1" applyAlignment="1">
      <alignment/>
    </xf>
    <xf numFmtId="188" fontId="8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37" fontId="8" fillId="0" borderId="0" xfId="0" applyNumberFormat="1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3" fontId="14" fillId="0" borderId="12" xfId="0" applyNumberFormat="1" applyFont="1" applyBorder="1" applyAlignment="1">
      <alignment/>
    </xf>
    <xf numFmtId="188" fontId="14" fillId="0" borderId="0" xfId="0" applyNumberFormat="1" applyFont="1" applyAlignment="1">
      <alignment/>
    </xf>
    <xf numFmtId="3" fontId="14" fillId="0" borderId="0" xfId="0" applyNumberFormat="1" applyFont="1" applyAlignment="1">
      <alignment/>
    </xf>
    <xf numFmtId="10" fontId="14" fillId="0" borderId="0" xfId="0" applyNumberFormat="1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4" fillId="0" borderId="0" xfId="0" applyFont="1" applyAlignment="1">
      <alignment/>
    </xf>
    <xf numFmtId="4" fontId="14" fillId="0" borderId="0" xfId="0" applyNumberFormat="1" applyFont="1" applyAlignment="1">
      <alignment/>
    </xf>
    <xf numFmtId="0" fontId="22" fillId="0" borderId="0" xfId="0" applyFont="1" applyAlignment="1">
      <alignment/>
    </xf>
    <xf numFmtId="3" fontId="5" fillId="0" borderId="0" xfId="0" applyNumberFormat="1" applyFont="1" applyBorder="1" applyAlignment="1">
      <alignment/>
    </xf>
    <xf numFmtId="0" fontId="23" fillId="0" borderId="0" xfId="0" applyFont="1" applyAlignment="1">
      <alignment/>
    </xf>
    <xf numFmtId="0" fontId="22" fillId="0" borderId="0" xfId="0" applyFont="1" applyAlignment="1">
      <alignment horizontal="center"/>
    </xf>
    <xf numFmtId="10" fontId="5" fillId="0" borderId="11" xfId="0" applyNumberFormat="1" applyFont="1" applyBorder="1" applyAlignment="1">
      <alignment/>
    </xf>
    <xf numFmtId="0" fontId="24" fillId="0" borderId="0" xfId="0" applyFont="1" applyAlignment="1">
      <alignment/>
    </xf>
    <xf numFmtId="3" fontId="26" fillId="0" borderId="0" xfId="0" applyNumberFormat="1" applyFont="1" applyBorder="1" applyAlignment="1">
      <alignment/>
    </xf>
    <xf numFmtId="37" fontId="26" fillId="0" borderId="0" xfId="0" applyNumberFormat="1" applyFont="1" applyBorder="1" applyAlignment="1">
      <alignment/>
    </xf>
    <xf numFmtId="0" fontId="26" fillId="0" borderId="13" xfId="0" applyFont="1" applyBorder="1" applyAlignment="1">
      <alignment/>
    </xf>
    <xf numFmtId="0" fontId="25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26" fillId="0" borderId="16" xfId="0" applyFont="1" applyBorder="1" applyAlignment="1">
      <alignment/>
    </xf>
    <xf numFmtId="0" fontId="25" fillId="0" borderId="0" xfId="0" applyFont="1" applyBorder="1" applyAlignment="1">
      <alignment/>
    </xf>
    <xf numFmtId="0" fontId="4" fillId="0" borderId="17" xfId="0" applyFont="1" applyBorder="1" applyAlignment="1">
      <alignment/>
    </xf>
    <xf numFmtId="0" fontId="25" fillId="0" borderId="16" xfId="0" applyFont="1" applyBorder="1" applyAlignment="1">
      <alignment/>
    </xf>
    <xf numFmtId="0" fontId="26" fillId="0" borderId="0" xfId="0" applyFont="1" applyBorder="1" applyAlignment="1">
      <alignment/>
    </xf>
    <xf numFmtId="10" fontId="26" fillId="0" borderId="0" xfId="0" applyNumberFormat="1" applyFont="1" applyBorder="1" applyAlignment="1">
      <alignment/>
    </xf>
    <xf numFmtId="10" fontId="26" fillId="0" borderId="17" xfId="0" applyNumberFormat="1" applyFont="1" applyBorder="1" applyAlignment="1">
      <alignment/>
    </xf>
    <xf numFmtId="0" fontId="27" fillId="0" borderId="16" xfId="0" applyFont="1" applyBorder="1" applyAlignment="1">
      <alignment horizontal="right"/>
    </xf>
    <xf numFmtId="0" fontId="63" fillId="0" borderId="16" xfId="0" applyFont="1" applyBorder="1" applyAlignment="1">
      <alignment horizontal="right"/>
    </xf>
    <xf numFmtId="0" fontId="1" fillId="0" borderId="18" xfId="0" applyFont="1" applyBorder="1" applyAlignment="1">
      <alignment/>
    </xf>
    <xf numFmtId="10" fontId="0" fillId="0" borderId="12" xfId="0" applyNumberFormat="1" applyBorder="1" applyAlignment="1">
      <alignment/>
    </xf>
    <xf numFmtId="10" fontId="0" fillId="0" borderId="19" xfId="0" applyNumberFormat="1" applyBorder="1" applyAlignment="1">
      <alignment/>
    </xf>
    <xf numFmtId="0" fontId="4" fillId="0" borderId="13" xfId="0" applyFont="1" applyBorder="1" applyAlignment="1">
      <alignment/>
    </xf>
    <xf numFmtId="3" fontId="26" fillId="0" borderId="17" xfId="0" applyNumberFormat="1" applyFont="1" applyBorder="1" applyAlignment="1">
      <alignment/>
    </xf>
    <xf numFmtId="0" fontId="4" fillId="0" borderId="16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9" xfId="0" applyFont="1" applyBorder="1" applyAlignment="1">
      <alignment/>
    </xf>
    <xf numFmtId="0" fontId="63" fillId="0" borderId="16" xfId="0" applyFont="1" applyBorder="1" applyAlignment="1">
      <alignment horizontal="left"/>
    </xf>
    <xf numFmtId="0" fontId="26" fillId="0" borderId="20" xfId="0" applyFont="1" applyBorder="1" applyAlignment="1">
      <alignment/>
    </xf>
    <xf numFmtId="37" fontId="26" fillId="0" borderId="21" xfId="0" applyNumberFormat="1" applyFont="1" applyBorder="1" applyAlignment="1">
      <alignment/>
    </xf>
    <xf numFmtId="0" fontId="4" fillId="0" borderId="21" xfId="0" applyFont="1" applyBorder="1" applyAlignment="1">
      <alignment/>
    </xf>
    <xf numFmtId="0" fontId="0" fillId="0" borderId="22" xfId="0" applyBorder="1" applyAlignment="1">
      <alignment/>
    </xf>
    <xf numFmtId="0" fontId="26" fillId="0" borderId="21" xfId="0" applyFont="1" applyBorder="1" applyAlignment="1">
      <alignment/>
    </xf>
    <xf numFmtId="3" fontId="26" fillId="0" borderId="21" xfId="0" applyNumberFormat="1" applyFont="1" applyBorder="1" applyAlignment="1">
      <alignment/>
    </xf>
    <xf numFmtId="3" fontId="26" fillId="0" borderId="22" xfId="0" applyNumberFormat="1" applyFont="1" applyBorder="1" applyAlignment="1">
      <alignment/>
    </xf>
    <xf numFmtId="1" fontId="26" fillId="0" borderId="21" xfId="0" applyNumberFormat="1" applyFont="1" applyBorder="1" applyAlignment="1">
      <alignment/>
    </xf>
    <xf numFmtId="0" fontId="0" fillId="0" borderId="21" xfId="0" applyFont="1" applyBorder="1" applyAlignment="1">
      <alignment/>
    </xf>
    <xf numFmtId="3" fontId="26" fillId="33" borderId="23" xfId="0" applyNumberFormat="1" applyFont="1" applyFill="1" applyBorder="1" applyAlignment="1">
      <alignment/>
    </xf>
    <xf numFmtId="10" fontId="26" fillId="33" borderId="10" xfId="0" applyNumberFormat="1" applyFont="1" applyFill="1" applyBorder="1" applyAlignment="1">
      <alignment/>
    </xf>
    <xf numFmtId="10" fontId="26" fillId="33" borderId="24" xfId="0" applyNumberFormat="1" applyFont="1" applyFill="1" applyBorder="1" applyAlignment="1">
      <alignment/>
    </xf>
    <xf numFmtId="3" fontId="26" fillId="33" borderId="25" xfId="0" applyNumberFormat="1" applyFont="1" applyFill="1" applyBorder="1" applyAlignment="1">
      <alignment/>
    </xf>
    <xf numFmtId="10" fontId="26" fillId="33" borderId="11" xfId="0" applyNumberFormat="1" applyFont="1" applyFill="1" applyBorder="1" applyAlignment="1">
      <alignment/>
    </xf>
    <xf numFmtId="10" fontId="26" fillId="33" borderId="26" xfId="0" applyNumberFormat="1" applyFont="1" applyFill="1" applyBorder="1" applyAlignment="1">
      <alignment/>
    </xf>
    <xf numFmtId="37" fontId="26" fillId="33" borderId="23" xfId="0" applyNumberFormat="1" applyFont="1" applyFill="1" applyBorder="1" applyAlignment="1">
      <alignment/>
    </xf>
    <xf numFmtId="37" fontId="26" fillId="33" borderId="22" xfId="0" applyNumberFormat="1" applyFont="1" applyFill="1" applyBorder="1" applyAlignment="1">
      <alignment/>
    </xf>
    <xf numFmtId="37" fontId="26" fillId="33" borderId="25" xfId="0" applyNumberFormat="1" applyFont="1" applyFill="1" applyBorder="1" applyAlignment="1">
      <alignment/>
    </xf>
    <xf numFmtId="10" fontId="26" fillId="33" borderId="23" xfId="0" applyNumberFormat="1" applyFont="1" applyFill="1" applyBorder="1" applyAlignment="1">
      <alignment/>
    </xf>
    <xf numFmtId="0" fontId="25" fillId="33" borderId="23" xfId="0" applyFont="1" applyFill="1" applyBorder="1" applyAlignment="1">
      <alignment horizontal="center"/>
    </xf>
    <xf numFmtId="0" fontId="23" fillId="33" borderId="13" xfId="0" applyFont="1" applyFill="1" applyBorder="1" applyAlignment="1">
      <alignment/>
    </xf>
    <xf numFmtId="0" fontId="25" fillId="33" borderId="14" xfId="0" applyFont="1" applyFill="1" applyBorder="1" applyAlignment="1">
      <alignment/>
    </xf>
    <xf numFmtId="0" fontId="23" fillId="33" borderId="15" xfId="0" applyFont="1" applyFill="1" applyBorder="1" applyAlignment="1">
      <alignment/>
    </xf>
    <xf numFmtId="0" fontId="25" fillId="33" borderId="16" xfId="0" applyFont="1" applyFill="1" applyBorder="1" applyAlignment="1">
      <alignment/>
    </xf>
    <xf numFmtId="0" fontId="25" fillId="33" borderId="0" xfId="0" applyFont="1" applyFill="1" applyBorder="1" applyAlignment="1">
      <alignment horizontal="center"/>
    </xf>
    <xf numFmtId="0" fontId="25" fillId="33" borderId="0" xfId="0" applyFont="1" applyFill="1" applyBorder="1" applyAlignment="1">
      <alignment/>
    </xf>
    <xf numFmtId="0" fontId="23" fillId="33" borderId="17" xfId="0" applyFont="1" applyFill="1" applyBorder="1" applyAlignment="1">
      <alignment/>
    </xf>
    <xf numFmtId="0" fontId="26" fillId="33" borderId="16" xfId="0" applyFont="1" applyFill="1" applyBorder="1" applyAlignment="1">
      <alignment/>
    </xf>
    <xf numFmtId="0" fontId="26" fillId="33" borderId="0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0" fontId="26" fillId="33" borderId="18" xfId="0" applyFont="1" applyFill="1" applyBorder="1" applyAlignment="1">
      <alignment/>
    </xf>
    <xf numFmtId="0" fontId="26" fillId="33" borderId="12" xfId="0" applyFont="1" applyFill="1" applyBorder="1" applyAlignment="1">
      <alignment/>
    </xf>
    <xf numFmtId="0" fontId="4" fillId="33" borderId="19" xfId="0" applyFont="1" applyFill="1" applyBorder="1" applyAlignment="1">
      <alignment/>
    </xf>
    <xf numFmtId="0" fontId="27" fillId="33" borderId="16" xfId="0" applyFont="1" applyFill="1" applyBorder="1" applyAlignment="1">
      <alignment horizontal="center"/>
    </xf>
    <xf numFmtId="0" fontId="63" fillId="33" borderId="16" xfId="0" applyFont="1" applyFill="1" applyBorder="1" applyAlignment="1">
      <alignment/>
    </xf>
    <xf numFmtId="0" fontId="25" fillId="33" borderId="16" xfId="0" applyFont="1" applyFill="1" applyBorder="1" applyAlignment="1">
      <alignment horizontal="right"/>
    </xf>
    <xf numFmtId="0" fontId="27" fillId="33" borderId="16" xfId="0" applyFont="1" applyFill="1" applyBorder="1" applyAlignment="1">
      <alignment horizontal="right"/>
    </xf>
    <xf numFmtId="0" fontId="26" fillId="33" borderId="13" xfId="0" applyFont="1" applyFill="1" applyBorder="1" applyAlignment="1">
      <alignment/>
    </xf>
    <xf numFmtId="3" fontId="0" fillId="33" borderId="15" xfId="0" applyNumberFormat="1" applyFont="1" applyFill="1" applyBorder="1" applyAlignment="1">
      <alignment/>
    </xf>
    <xf numFmtId="3" fontId="0" fillId="33" borderId="19" xfId="0" applyNumberFormat="1" applyFont="1" applyFill="1" applyBorder="1" applyAlignment="1">
      <alignment/>
    </xf>
    <xf numFmtId="0" fontId="25" fillId="33" borderId="13" xfId="0" applyFont="1" applyFill="1" applyBorder="1" applyAlignment="1">
      <alignment/>
    </xf>
    <xf numFmtId="0" fontId="25" fillId="33" borderId="15" xfId="0" applyFont="1" applyFill="1" applyBorder="1" applyAlignment="1">
      <alignment/>
    </xf>
    <xf numFmtId="0" fontId="25" fillId="33" borderId="17" xfId="0" applyFont="1" applyFill="1" applyBorder="1" applyAlignment="1">
      <alignment/>
    </xf>
    <xf numFmtId="0" fontId="25" fillId="33" borderId="19" xfId="0" applyFont="1" applyFill="1" applyBorder="1" applyAlignment="1">
      <alignment/>
    </xf>
    <xf numFmtId="0" fontId="25" fillId="33" borderId="22" xfId="0" applyFont="1" applyFill="1" applyBorder="1" applyAlignment="1">
      <alignment horizontal="center"/>
    </xf>
    <xf numFmtId="0" fontId="26" fillId="33" borderId="23" xfId="0" applyFont="1" applyFill="1" applyBorder="1" applyAlignment="1">
      <alignment horizontal="center"/>
    </xf>
    <xf numFmtId="0" fontId="26" fillId="33" borderId="16" xfId="0" applyFont="1" applyFill="1" applyBorder="1" applyAlignment="1">
      <alignment horizontal="center"/>
    </xf>
    <xf numFmtId="3" fontId="26" fillId="33" borderId="21" xfId="0" applyNumberFormat="1" applyFont="1" applyFill="1" applyBorder="1" applyAlignment="1">
      <alignment/>
    </xf>
    <xf numFmtId="10" fontId="26" fillId="33" borderId="0" xfId="0" applyNumberFormat="1" applyFont="1" applyFill="1" applyBorder="1" applyAlignment="1">
      <alignment/>
    </xf>
    <xf numFmtId="10" fontId="26" fillId="33" borderId="17" xfId="0" applyNumberFormat="1" applyFont="1" applyFill="1" applyBorder="1" applyAlignment="1">
      <alignment/>
    </xf>
    <xf numFmtId="208" fontId="14" fillId="0" borderId="0" xfId="0" applyNumberFormat="1" applyFont="1" applyAlignment="1">
      <alignment/>
    </xf>
    <xf numFmtId="0" fontId="64" fillId="0" borderId="0" xfId="0" applyFont="1" applyAlignment="1">
      <alignment/>
    </xf>
    <xf numFmtId="3" fontId="0" fillId="0" borderId="0" xfId="0" applyNumberFormat="1" applyFont="1" applyBorder="1" applyAlignment="1">
      <alignment/>
    </xf>
    <xf numFmtId="10" fontId="15" fillId="0" borderId="0" xfId="0" applyNumberFormat="1" applyFont="1" applyAlignment="1">
      <alignment/>
    </xf>
    <xf numFmtId="209" fontId="8" fillId="0" borderId="0" xfId="0" applyNumberFormat="1" applyFont="1" applyAlignment="1">
      <alignment/>
    </xf>
    <xf numFmtId="37" fontId="0" fillId="0" borderId="0" xfId="0" applyNumberFormat="1" applyAlignment="1">
      <alignment/>
    </xf>
    <xf numFmtId="3" fontId="26" fillId="34" borderId="23" xfId="0" applyNumberFormat="1" applyFont="1" applyFill="1" applyBorder="1" applyAlignment="1">
      <alignment/>
    </xf>
    <xf numFmtId="3" fontId="26" fillId="13" borderId="21" xfId="0" applyNumberFormat="1" applyFont="1" applyFill="1" applyBorder="1" applyAlignment="1">
      <alignment/>
    </xf>
    <xf numFmtId="3" fontId="26" fillId="34" borderId="25" xfId="0" applyNumberFormat="1" applyFont="1" applyFill="1" applyBorder="1" applyAlignment="1">
      <alignment/>
    </xf>
    <xf numFmtId="37" fontId="26" fillId="34" borderId="21" xfId="0" applyNumberFormat="1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4"/>
  <sheetViews>
    <sheetView tabSelected="1" zoomScale="90" zoomScaleNormal="90" zoomScalePageLayoutView="0" workbookViewId="0" topLeftCell="A55">
      <selection activeCell="B72" sqref="B72"/>
    </sheetView>
  </sheetViews>
  <sheetFormatPr defaultColWidth="11.421875" defaultRowHeight="12.75"/>
  <cols>
    <col min="1" max="1" width="70.28125" style="0" customWidth="1"/>
    <col min="2" max="2" width="20.7109375" style="0" customWidth="1"/>
    <col min="3" max="3" width="24.421875" style="0" customWidth="1"/>
    <col min="4" max="4" width="21.8515625" style="0" customWidth="1"/>
    <col min="5" max="5" width="17.00390625" style="0" customWidth="1"/>
    <col min="7" max="7" width="52.7109375" style="0" customWidth="1"/>
    <col min="8" max="8" width="25.8515625" style="0" customWidth="1"/>
    <col min="9" max="9" width="6.8515625" style="0" customWidth="1"/>
    <col min="10" max="10" width="26.8515625" style="0" customWidth="1"/>
    <col min="11" max="11" width="5.57421875" style="0" customWidth="1"/>
  </cols>
  <sheetData>
    <row r="1" ht="15">
      <c r="A1" s="1"/>
    </row>
    <row r="2" spans="1:11" ht="15.75">
      <c r="A2" s="69"/>
      <c r="B2" s="98"/>
      <c r="C2" s="99" t="s">
        <v>159</v>
      </c>
      <c r="D2" s="99"/>
      <c r="E2" s="100"/>
      <c r="G2" s="7"/>
      <c r="H2" s="48"/>
      <c r="I2" s="46" t="s">
        <v>0</v>
      </c>
      <c r="J2" s="46"/>
      <c r="K2" s="48"/>
    </row>
    <row r="3" spans="1:11" ht="15.75">
      <c r="A3" s="57"/>
      <c r="B3" s="101"/>
      <c r="C3" s="102" t="s">
        <v>168</v>
      </c>
      <c r="D3" s="103"/>
      <c r="E3" s="104"/>
      <c r="G3" s="8"/>
      <c r="H3" s="46" t="s">
        <v>132</v>
      </c>
      <c r="I3" s="46"/>
      <c r="J3" s="46"/>
      <c r="K3" s="48"/>
    </row>
    <row r="4" spans="1:11" ht="15.75">
      <c r="A4" s="57"/>
      <c r="B4" s="105"/>
      <c r="C4" s="106"/>
      <c r="D4" s="106"/>
      <c r="E4" s="107"/>
      <c r="G4" s="8"/>
      <c r="H4" s="8"/>
      <c r="I4" s="8"/>
      <c r="J4" s="8"/>
      <c r="K4" s="7"/>
    </row>
    <row r="5" spans="1:11" ht="15.75">
      <c r="A5" s="57"/>
      <c r="B5" s="108"/>
      <c r="C5" s="109"/>
      <c r="D5" s="109"/>
      <c r="E5" s="110"/>
      <c r="G5" s="8"/>
      <c r="H5" s="8"/>
      <c r="I5" s="8"/>
      <c r="J5" s="8"/>
      <c r="K5" s="7"/>
    </row>
    <row r="6" spans="1:11" ht="15.75">
      <c r="A6" s="57"/>
      <c r="B6" s="97" t="s">
        <v>177</v>
      </c>
      <c r="C6" s="97" t="s">
        <v>165</v>
      </c>
      <c r="D6" s="97" t="s">
        <v>178</v>
      </c>
      <c r="E6" s="97" t="s">
        <v>165</v>
      </c>
      <c r="G6" s="8"/>
      <c r="H6" s="49" t="s">
        <v>156</v>
      </c>
      <c r="I6" s="49"/>
      <c r="J6" s="49" t="s">
        <v>135</v>
      </c>
      <c r="K6" s="7"/>
    </row>
    <row r="7" spans="1:11" ht="15.75">
      <c r="A7" s="111" t="s">
        <v>1</v>
      </c>
      <c r="B7" s="82"/>
      <c r="C7" s="61"/>
      <c r="D7" s="82"/>
      <c r="E7" s="59"/>
      <c r="G7" s="46" t="s">
        <v>1</v>
      </c>
      <c r="H7" s="8"/>
      <c r="I7" s="8"/>
      <c r="J7" s="8"/>
      <c r="K7" s="7"/>
    </row>
    <row r="8" spans="1:11" ht="15.75">
      <c r="A8" s="57" t="s">
        <v>2</v>
      </c>
      <c r="B8" s="83">
        <v>15116</v>
      </c>
      <c r="C8" s="62">
        <f aca="true" t="shared" si="0" ref="C8:C15">+B8/$B$34</f>
        <v>0.0030045023807839057</v>
      </c>
      <c r="D8" s="83">
        <v>5000</v>
      </c>
      <c r="E8" s="63">
        <f>+D8/$D$34</f>
        <v>0.004028359651949726</v>
      </c>
      <c r="G8" s="8" t="s">
        <v>2</v>
      </c>
      <c r="H8" s="12">
        <f>15116-14116</f>
        <v>1000</v>
      </c>
      <c r="I8" s="13"/>
      <c r="J8" s="12">
        <v>5000</v>
      </c>
      <c r="K8" s="13"/>
    </row>
    <row r="9" spans="1:11" ht="15.75">
      <c r="A9" s="57" t="s">
        <v>161</v>
      </c>
      <c r="B9" s="83">
        <v>3000000</v>
      </c>
      <c r="C9" s="62">
        <f t="shared" si="0"/>
        <v>0.5962891732172345</v>
      </c>
      <c r="D9" s="83">
        <v>210000</v>
      </c>
      <c r="E9" s="63">
        <f aca="true" t="shared" si="1" ref="E9:E14">+D9/$D$34</f>
        <v>0.1691911053818885</v>
      </c>
      <c r="G9" s="8" t="s">
        <v>3</v>
      </c>
      <c r="H9" s="12">
        <f>130000+370000</f>
        <v>500000</v>
      </c>
      <c r="I9" s="13"/>
      <c r="J9" s="12">
        <v>210000</v>
      </c>
      <c r="K9" s="13"/>
    </row>
    <row r="10" spans="1:11" ht="15.75">
      <c r="A10" s="57" t="s">
        <v>4</v>
      </c>
      <c r="B10" s="83">
        <v>3000</v>
      </c>
      <c r="C10" s="62">
        <f t="shared" si="0"/>
        <v>0.0005962891732172345</v>
      </c>
      <c r="D10" s="83">
        <v>4000</v>
      </c>
      <c r="E10" s="63">
        <f t="shared" si="1"/>
        <v>0.003222687721559781</v>
      </c>
      <c r="G10" s="8" t="s">
        <v>4</v>
      </c>
      <c r="H10" s="12">
        <v>3000</v>
      </c>
      <c r="I10" s="13"/>
      <c r="J10" s="12">
        <v>4000</v>
      </c>
      <c r="K10" s="13"/>
    </row>
    <row r="11" spans="1:11" ht="15.75">
      <c r="A11" s="57" t="s">
        <v>162</v>
      </c>
      <c r="B11" s="135">
        <v>1000000</v>
      </c>
      <c r="C11" s="62">
        <f t="shared" si="0"/>
        <v>0.19876305773907818</v>
      </c>
      <c r="D11" s="135">
        <v>200000</v>
      </c>
      <c r="E11" s="63">
        <f t="shared" si="1"/>
        <v>0.16113438607798905</v>
      </c>
      <c r="G11" s="8" t="s">
        <v>5</v>
      </c>
      <c r="H11" s="12">
        <f>250000+136000-259000+300000</f>
        <v>427000</v>
      </c>
      <c r="I11" s="13"/>
      <c r="J11" s="12">
        <v>200000</v>
      </c>
      <c r="K11" s="13"/>
    </row>
    <row r="12" spans="1:11" ht="15.75">
      <c r="A12" s="57" t="s">
        <v>6</v>
      </c>
      <c r="B12" s="83">
        <v>10000</v>
      </c>
      <c r="C12" s="62">
        <f t="shared" si="0"/>
        <v>0.0019876305773907817</v>
      </c>
      <c r="D12" s="83">
        <v>25000</v>
      </c>
      <c r="E12" s="63">
        <f t="shared" si="1"/>
        <v>0.02014179825974863</v>
      </c>
      <c r="G12" s="8" t="s">
        <v>6</v>
      </c>
      <c r="H12" s="12">
        <v>10000</v>
      </c>
      <c r="I12" s="13"/>
      <c r="J12" s="12">
        <v>25000</v>
      </c>
      <c r="K12" s="13"/>
    </row>
    <row r="13" spans="1:11" ht="15.75">
      <c r="A13" s="57" t="s">
        <v>7</v>
      </c>
      <c r="B13" s="83">
        <v>10000</v>
      </c>
      <c r="C13" s="62">
        <f t="shared" si="0"/>
        <v>0.0019876305773907817</v>
      </c>
      <c r="D13" s="83">
        <v>35000</v>
      </c>
      <c r="E13" s="63">
        <f t="shared" si="1"/>
        <v>0.028198517563648082</v>
      </c>
      <c r="G13" s="8" t="s">
        <v>7</v>
      </c>
      <c r="H13" s="12">
        <v>10000</v>
      </c>
      <c r="I13" s="13"/>
      <c r="J13" s="12">
        <v>35000</v>
      </c>
      <c r="K13" s="13"/>
    </row>
    <row r="14" spans="1:11" ht="15.75">
      <c r="A14" s="57" t="s">
        <v>8</v>
      </c>
      <c r="B14" s="83">
        <v>5000</v>
      </c>
      <c r="C14" s="62">
        <f t="shared" si="0"/>
        <v>0.0009938152886953908</v>
      </c>
      <c r="D14" s="83">
        <v>8000</v>
      </c>
      <c r="E14" s="63">
        <f t="shared" si="1"/>
        <v>0.006445375443119562</v>
      </c>
      <c r="G14" s="8" t="s">
        <v>8</v>
      </c>
      <c r="H14" s="12">
        <v>5000</v>
      </c>
      <c r="I14" s="13"/>
      <c r="J14" s="12">
        <v>8000</v>
      </c>
      <c r="K14" s="13"/>
    </row>
    <row r="15" spans="1:11" ht="15.75">
      <c r="A15" s="112" t="s">
        <v>9</v>
      </c>
      <c r="B15" s="134">
        <f>SUM(B8:B14)</f>
        <v>4043116</v>
      </c>
      <c r="C15" s="88">
        <f t="shared" si="0"/>
        <v>0.8036220989537908</v>
      </c>
      <c r="D15" s="87">
        <f>SUM(D8:D14)</f>
        <v>487000</v>
      </c>
      <c r="E15" s="89">
        <f>+D15/$D$34</f>
        <v>0.39236223009990334</v>
      </c>
      <c r="G15" s="8" t="s">
        <v>9</v>
      </c>
      <c r="H15" s="9">
        <f>SUM(H8:H14)</f>
        <v>956000</v>
      </c>
      <c r="I15" s="10"/>
      <c r="J15" s="9">
        <f>SUM(J8:J14)</f>
        <v>487000</v>
      </c>
      <c r="K15" s="10"/>
    </row>
    <row r="16" spans="1:11" ht="15.75">
      <c r="A16" s="57"/>
      <c r="B16" s="83"/>
      <c r="C16" s="52"/>
      <c r="D16" s="83"/>
      <c r="E16" s="70"/>
      <c r="G16" s="8"/>
      <c r="H16" s="12"/>
      <c r="I16" s="12"/>
      <c r="J16" s="12"/>
      <c r="K16" s="12"/>
    </row>
    <row r="17" spans="1:11" ht="15.75">
      <c r="A17" s="111" t="s">
        <v>10</v>
      </c>
      <c r="B17" s="83"/>
      <c r="C17" s="52"/>
      <c r="D17" s="83"/>
      <c r="E17" s="70"/>
      <c r="G17" s="46" t="s">
        <v>10</v>
      </c>
      <c r="H17" s="12"/>
      <c r="I17" s="12"/>
      <c r="J17" s="12"/>
      <c r="K17" s="12"/>
    </row>
    <row r="18" spans="1:11" ht="15.75">
      <c r="A18" s="57" t="s">
        <v>11</v>
      </c>
      <c r="B18" s="83">
        <v>80000</v>
      </c>
      <c r="C18" s="62">
        <f>+B18/$B$24</f>
        <v>0.09626955475330927</v>
      </c>
      <c r="D18" s="83">
        <v>104200</v>
      </c>
      <c r="E18" s="63">
        <f aca="true" t="shared" si="2" ref="E18:E23">+D18/$D$24</f>
        <v>0.1568804576934658</v>
      </c>
      <c r="G18" s="8" t="s">
        <v>11</v>
      </c>
      <c r="H18" s="12">
        <f>80000+920000</f>
        <v>1000000</v>
      </c>
      <c r="I18" s="13"/>
      <c r="J18" s="12">
        <v>104200</v>
      </c>
      <c r="K18" s="13"/>
    </row>
    <row r="19" spans="1:11" ht="15.75">
      <c r="A19" s="57" t="s">
        <v>12</v>
      </c>
      <c r="B19" s="83">
        <v>30000</v>
      </c>
      <c r="C19" s="62">
        <f>+B19/$B$24</f>
        <v>0.036101083032490974</v>
      </c>
      <c r="D19" s="83">
        <v>40000</v>
      </c>
      <c r="E19" s="63">
        <f t="shared" si="2"/>
        <v>0.06022282445046673</v>
      </c>
      <c r="G19" s="8" t="s">
        <v>12</v>
      </c>
      <c r="H19" s="12">
        <v>30000</v>
      </c>
      <c r="I19" s="13"/>
      <c r="J19" s="12">
        <v>40000</v>
      </c>
      <c r="K19" s="13"/>
    </row>
    <row r="20" spans="1:11" ht="15.75">
      <c r="A20" s="57" t="s">
        <v>13</v>
      </c>
      <c r="B20" s="84">
        <v>350000</v>
      </c>
      <c r="C20" s="62">
        <f>+B20/$B$24</f>
        <v>0.42117930204572807</v>
      </c>
      <c r="D20" s="84">
        <v>300000</v>
      </c>
      <c r="E20" s="63">
        <f t="shared" si="2"/>
        <v>0.45167118337850043</v>
      </c>
      <c r="G20" s="8" t="s">
        <v>13</v>
      </c>
      <c r="H20" s="14">
        <v>350000</v>
      </c>
      <c r="I20" s="13"/>
      <c r="J20" s="14">
        <v>300000</v>
      </c>
      <c r="K20" s="13"/>
    </row>
    <row r="21" spans="1:11" ht="15.75">
      <c r="A21" s="124" t="s">
        <v>14</v>
      </c>
      <c r="B21" s="125">
        <f>SUM(B18:B20)</f>
        <v>460000</v>
      </c>
      <c r="C21" s="126">
        <f>+B21/B24</f>
        <v>0.5535499398315282</v>
      </c>
      <c r="D21" s="125">
        <f>SUM(D18:D20)</f>
        <v>444200</v>
      </c>
      <c r="E21" s="127">
        <f t="shared" si="2"/>
        <v>0.668774465522433</v>
      </c>
      <c r="G21" s="8" t="s">
        <v>14</v>
      </c>
      <c r="H21" s="12">
        <f>SUM(H18:H20)</f>
        <v>1380000</v>
      </c>
      <c r="I21" s="13"/>
      <c r="J21" s="12">
        <f>SUM(J18:J20)</f>
        <v>444200</v>
      </c>
      <c r="K21" s="13"/>
    </row>
    <row r="22" spans="1:11" ht="15.75">
      <c r="A22" s="57" t="s">
        <v>15</v>
      </c>
      <c r="B22" s="83">
        <v>500000</v>
      </c>
      <c r="C22" s="62">
        <f>+B22/$B$24</f>
        <v>0.601684717208183</v>
      </c>
      <c r="D22" s="83">
        <v>300000</v>
      </c>
      <c r="E22" s="63">
        <f t="shared" si="2"/>
        <v>0.45167118337850043</v>
      </c>
      <c r="G22" s="8" t="s">
        <v>15</v>
      </c>
      <c r="H22" s="12">
        <v>500000</v>
      </c>
      <c r="I22" s="13"/>
      <c r="J22" s="12">
        <v>300000</v>
      </c>
      <c r="K22" s="13"/>
    </row>
    <row r="23" spans="1:11" ht="15.75">
      <c r="A23" s="57" t="s">
        <v>16</v>
      </c>
      <c r="B23" s="79">
        <v>-129000</v>
      </c>
      <c r="C23" s="62">
        <f>+B23/$B$24</f>
        <v>-0.1552346570397112</v>
      </c>
      <c r="D23" s="79">
        <v>-80000</v>
      </c>
      <c r="E23" s="63">
        <f t="shared" si="2"/>
        <v>-0.12044564890093346</v>
      </c>
      <c r="G23" s="8" t="s">
        <v>16</v>
      </c>
      <c r="H23" s="15">
        <v>-129000</v>
      </c>
      <c r="I23" s="13"/>
      <c r="J23" s="15">
        <v>-80000</v>
      </c>
      <c r="K23" s="13"/>
    </row>
    <row r="24" spans="1:11" ht="15.75">
      <c r="A24" s="112" t="s">
        <v>17</v>
      </c>
      <c r="B24" s="87">
        <f>+B21+B22+B23</f>
        <v>831000</v>
      </c>
      <c r="C24" s="88">
        <f>+B24/$B$34</f>
        <v>0.16517210098117396</v>
      </c>
      <c r="D24" s="87">
        <f>+D21+D22+D23</f>
        <v>664200</v>
      </c>
      <c r="E24" s="89">
        <f>+D24/$D$34</f>
        <v>0.5351272961650017</v>
      </c>
      <c r="G24" s="8" t="s">
        <v>17</v>
      </c>
      <c r="H24" s="9">
        <f>+H21+H22+H23</f>
        <v>1751000</v>
      </c>
      <c r="I24" s="10"/>
      <c r="J24" s="9">
        <f>+J21+J22+J23</f>
        <v>664200</v>
      </c>
      <c r="K24" s="10"/>
    </row>
    <row r="25" spans="1:11" ht="15.75">
      <c r="A25" s="57"/>
      <c r="B25" s="83"/>
      <c r="C25" s="52"/>
      <c r="D25" s="83"/>
      <c r="E25" s="70"/>
      <c r="G25" s="8"/>
      <c r="H25" s="12"/>
      <c r="I25" s="12"/>
      <c r="J25" s="12"/>
      <c r="K25" s="12"/>
    </row>
    <row r="26" spans="1:11" ht="15.75">
      <c r="A26" s="111" t="s">
        <v>18</v>
      </c>
      <c r="B26" s="83"/>
      <c r="C26" s="52"/>
      <c r="D26" s="83"/>
      <c r="E26" s="70"/>
      <c r="G26" s="46" t="s">
        <v>18</v>
      </c>
      <c r="H26" s="12"/>
      <c r="I26" s="12"/>
      <c r="J26" s="12"/>
      <c r="K26" s="12"/>
    </row>
    <row r="27" spans="1:11" ht="15.75">
      <c r="A27" s="57" t="s">
        <v>19</v>
      </c>
      <c r="B27" s="83">
        <v>80000</v>
      </c>
      <c r="C27" s="62">
        <f>+B27/$B$32</f>
        <v>0.5095541401273885</v>
      </c>
      <c r="D27" s="83">
        <v>50000</v>
      </c>
      <c r="E27" s="63">
        <f>+D27/$D$32</f>
        <v>0.5555555555555556</v>
      </c>
      <c r="G27" s="8" t="s">
        <v>19</v>
      </c>
      <c r="H27" s="12">
        <f>80000+420000</f>
        <v>500000</v>
      </c>
      <c r="I27" s="13"/>
      <c r="J27" s="12">
        <v>50000</v>
      </c>
      <c r="K27" s="13"/>
    </row>
    <row r="28" spans="1:11" ht="15.75">
      <c r="A28" s="57" t="s">
        <v>20</v>
      </c>
      <c r="B28" s="83">
        <v>10000</v>
      </c>
      <c r="C28" s="62">
        <f>+B28/$B$32</f>
        <v>0.06369426751592357</v>
      </c>
      <c r="D28" s="83">
        <v>10000</v>
      </c>
      <c r="E28" s="63">
        <f>+D28/$D$32</f>
        <v>0.1111111111111111</v>
      </c>
      <c r="G28" s="8" t="s">
        <v>20</v>
      </c>
      <c r="H28" s="12">
        <v>10000</v>
      </c>
      <c r="I28" s="13"/>
      <c r="J28" s="12">
        <v>10000</v>
      </c>
      <c r="K28" s="13"/>
    </row>
    <row r="29" spans="1:11" ht="15.75">
      <c r="A29" s="57" t="s">
        <v>21</v>
      </c>
      <c r="B29" s="83">
        <f>+B27+B28</f>
        <v>90000</v>
      </c>
      <c r="C29" s="62">
        <f>+B29/$B$32</f>
        <v>0.5732484076433121</v>
      </c>
      <c r="D29" s="83">
        <f>+D27+D28</f>
        <v>60000</v>
      </c>
      <c r="E29" s="63">
        <f>+D29/$D$32</f>
        <v>0.6666666666666666</v>
      </c>
      <c r="G29" s="8" t="s">
        <v>21</v>
      </c>
      <c r="H29" s="12">
        <f>+H27+H28</f>
        <v>510000</v>
      </c>
      <c r="I29" s="13"/>
      <c r="J29" s="12">
        <f>+J27+J28</f>
        <v>60000</v>
      </c>
      <c r="K29" s="13"/>
    </row>
    <row r="30" spans="1:11" ht="15.75">
      <c r="A30" s="57" t="s">
        <v>22</v>
      </c>
      <c r="B30" s="83">
        <v>90000</v>
      </c>
      <c r="C30" s="62">
        <f>+B30/$B$32</f>
        <v>0.5732484076433121</v>
      </c>
      <c r="D30" s="83">
        <v>40000</v>
      </c>
      <c r="E30" s="63">
        <f>+D30/$D$32</f>
        <v>0.4444444444444444</v>
      </c>
      <c r="G30" s="8" t="s">
        <v>22</v>
      </c>
      <c r="H30" s="12">
        <v>90000</v>
      </c>
      <c r="I30" s="13"/>
      <c r="J30" s="12">
        <v>40000</v>
      </c>
      <c r="K30" s="13"/>
    </row>
    <row r="31" spans="1:11" ht="15.75">
      <c r="A31" s="57" t="s">
        <v>23</v>
      </c>
      <c r="B31" s="79">
        <v>-23000</v>
      </c>
      <c r="C31" s="62">
        <f>+B31/$B$32</f>
        <v>-0.1464968152866242</v>
      </c>
      <c r="D31" s="79">
        <v>-10000</v>
      </c>
      <c r="E31" s="63">
        <f>+D31/$D$32</f>
        <v>-0.1111111111111111</v>
      </c>
      <c r="G31" s="8" t="s">
        <v>23</v>
      </c>
      <c r="H31" s="15">
        <v>-23000</v>
      </c>
      <c r="I31" s="13"/>
      <c r="J31" s="15">
        <v>-10000</v>
      </c>
      <c r="K31" s="13"/>
    </row>
    <row r="32" spans="1:11" ht="15.75">
      <c r="A32" s="112" t="s">
        <v>160</v>
      </c>
      <c r="B32" s="87">
        <f>+B29+B30+B31</f>
        <v>157000</v>
      </c>
      <c r="C32" s="88">
        <f>+B32/$B$34</f>
        <v>0.03120580006503527</v>
      </c>
      <c r="D32" s="87">
        <f>+D29+D30+D31</f>
        <v>90000</v>
      </c>
      <c r="E32" s="89">
        <f>+D32/$D$34</f>
        <v>0.07251047373509507</v>
      </c>
      <c r="G32" s="8" t="s">
        <v>24</v>
      </c>
      <c r="H32" s="9">
        <f>+H29+H30+H31</f>
        <v>577000</v>
      </c>
      <c r="I32" s="10"/>
      <c r="J32" s="9">
        <f>+J29+J30+J31</f>
        <v>90000</v>
      </c>
      <c r="K32" s="10"/>
    </row>
    <row r="33" spans="1:11" ht="15.75">
      <c r="A33" s="105"/>
      <c r="B33" s="83"/>
      <c r="C33" s="52"/>
      <c r="D33" s="83"/>
      <c r="E33" s="70"/>
      <c r="G33" s="8"/>
      <c r="H33" s="12"/>
      <c r="I33" s="12"/>
      <c r="J33" s="12"/>
      <c r="K33" s="12"/>
    </row>
    <row r="34" spans="1:11" ht="16.5" thickBot="1">
      <c r="A34" s="113" t="s">
        <v>25</v>
      </c>
      <c r="B34" s="136">
        <f>+B15+B24+B32</f>
        <v>5031116</v>
      </c>
      <c r="C34" s="91">
        <f>+C15+C24+C32</f>
        <v>1</v>
      </c>
      <c r="D34" s="90">
        <f>+D15+D24+D32</f>
        <v>1241200</v>
      </c>
      <c r="E34" s="92">
        <f>+E15+E24+E32</f>
        <v>1</v>
      </c>
      <c r="G34" s="46" t="s">
        <v>25</v>
      </c>
      <c r="H34" s="11">
        <f>+H15+H24+H32</f>
        <v>3284000</v>
      </c>
      <c r="I34" s="50"/>
      <c r="J34" s="11">
        <f>+J15+J24+J32</f>
        <v>1241200</v>
      </c>
      <c r="K34" s="50"/>
    </row>
    <row r="35" spans="1:11" ht="16.5" thickTop="1">
      <c r="A35" s="57"/>
      <c r="B35" s="85"/>
      <c r="C35" s="61"/>
      <c r="D35" s="85"/>
      <c r="E35" s="59"/>
      <c r="G35" s="8"/>
      <c r="H35" s="2"/>
      <c r="I35" s="8"/>
      <c r="J35" s="2"/>
      <c r="K35" s="7"/>
    </row>
    <row r="36" spans="1:11" ht="15.75">
      <c r="A36" s="71"/>
      <c r="B36" s="85"/>
      <c r="C36" s="61"/>
      <c r="D36" s="85"/>
      <c r="E36" s="59"/>
      <c r="G36" s="7"/>
      <c r="H36" s="2"/>
      <c r="I36" s="8"/>
      <c r="J36" s="2"/>
      <c r="K36" s="7"/>
    </row>
    <row r="37" spans="1:11" ht="15.75">
      <c r="A37" s="111" t="s">
        <v>133</v>
      </c>
      <c r="B37" s="82"/>
      <c r="C37" s="61"/>
      <c r="D37" s="82"/>
      <c r="E37" s="59"/>
      <c r="G37" s="46" t="s">
        <v>133</v>
      </c>
      <c r="H37" s="8"/>
      <c r="I37" s="8"/>
      <c r="J37" s="8"/>
      <c r="K37" s="7"/>
    </row>
    <row r="38" spans="1:11" ht="15.75">
      <c r="A38" s="57" t="s">
        <v>26</v>
      </c>
      <c r="B38" s="83">
        <v>3514000</v>
      </c>
      <c r="C38" s="62">
        <f>+B38/$B$42</f>
        <v>0.9988402765144624</v>
      </c>
      <c r="D38" s="83">
        <v>150000</v>
      </c>
      <c r="E38" s="63">
        <f>+D38/$D$42</f>
        <v>0.6292368615343311</v>
      </c>
      <c r="G38" s="8" t="s">
        <v>26</v>
      </c>
      <c r="H38" s="12">
        <f>300000-14116+300000</f>
        <v>585884</v>
      </c>
      <c r="I38" s="13"/>
      <c r="J38" s="12">
        <v>150000</v>
      </c>
      <c r="K38" s="13"/>
    </row>
    <row r="39" spans="1:11" ht="15.75">
      <c r="A39" s="57" t="s">
        <v>27</v>
      </c>
      <c r="B39" s="83">
        <v>1000</v>
      </c>
      <c r="C39" s="62">
        <f>+B39/$B$42</f>
        <v>0.00028424595233763873</v>
      </c>
      <c r="D39" s="83">
        <v>10000</v>
      </c>
      <c r="E39" s="63">
        <f>+D39/$D$42</f>
        <v>0.041949124102288744</v>
      </c>
      <c r="G39" s="8" t="s">
        <v>27</v>
      </c>
      <c r="H39" s="12">
        <v>1000</v>
      </c>
      <c r="I39" s="13"/>
      <c r="J39" s="12">
        <v>10000</v>
      </c>
      <c r="K39" s="13"/>
    </row>
    <row r="40" spans="1:11" ht="15.75">
      <c r="A40" s="57" t="s">
        <v>28</v>
      </c>
      <c r="B40" s="83">
        <v>2000</v>
      </c>
      <c r="C40" s="62">
        <f>+B40/$B$42</f>
        <v>0.0005684919046752775</v>
      </c>
      <c r="D40" s="83">
        <v>19500</v>
      </c>
      <c r="E40" s="63">
        <f>+D40/$D$42</f>
        <v>0.08180079199946305</v>
      </c>
      <c r="G40" s="8" t="s">
        <v>28</v>
      </c>
      <c r="H40" s="12">
        <v>2000</v>
      </c>
      <c r="I40" s="13"/>
      <c r="J40" s="12">
        <v>19500</v>
      </c>
      <c r="K40" s="13"/>
    </row>
    <row r="41" spans="1:11" ht="15.75">
      <c r="A41" s="57" t="s">
        <v>29</v>
      </c>
      <c r="B41" s="83">
        <v>1080</v>
      </c>
      <c r="C41" s="62">
        <f>+B41/$B$42</f>
        <v>0.0003069856285246498</v>
      </c>
      <c r="D41" s="83">
        <v>58884</v>
      </c>
      <c r="E41" s="63"/>
      <c r="G41" s="8" t="s">
        <v>134</v>
      </c>
      <c r="H41" s="12">
        <v>150000</v>
      </c>
      <c r="I41" s="13"/>
      <c r="J41" s="12"/>
      <c r="K41" s="13"/>
    </row>
    <row r="42" spans="1:11" ht="15.75">
      <c r="A42" s="112" t="s">
        <v>30</v>
      </c>
      <c r="B42" s="134">
        <f>SUM(B38:B41)</f>
        <v>3518080</v>
      </c>
      <c r="C42" s="88">
        <f>+B42/B50</f>
        <v>0.8648010855243752</v>
      </c>
      <c r="D42" s="87">
        <f>SUM(D38:D41)</f>
        <v>238384</v>
      </c>
      <c r="E42" s="89">
        <f>+D42/D50</f>
        <v>0.5089499214319875</v>
      </c>
      <c r="G42" s="8" t="s">
        <v>29</v>
      </c>
      <c r="H42" s="12">
        <v>1080</v>
      </c>
      <c r="I42" s="13"/>
      <c r="J42" s="12">
        <v>58884</v>
      </c>
      <c r="K42" s="13"/>
    </row>
    <row r="43" spans="1:11" ht="15">
      <c r="A43" s="72"/>
      <c r="B43" s="86"/>
      <c r="C43" s="73"/>
      <c r="D43" s="86"/>
      <c r="E43" s="74"/>
      <c r="G43" s="8" t="s">
        <v>30</v>
      </c>
      <c r="H43" s="9">
        <f>SUM(H38:H42)</f>
        <v>739964</v>
      </c>
      <c r="I43" s="10"/>
      <c r="J43" s="9">
        <f>SUM(J38:J42)</f>
        <v>238384</v>
      </c>
      <c r="K43" s="10"/>
    </row>
    <row r="44" spans="1:11" ht="15.75">
      <c r="A44" s="57"/>
      <c r="B44" s="83"/>
      <c r="C44" s="52"/>
      <c r="D44" s="83"/>
      <c r="E44" s="70"/>
      <c r="G44" s="8"/>
      <c r="H44" s="12"/>
      <c r="I44" s="12"/>
      <c r="J44" s="12"/>
      <c r="K44" s="12"/>
    </row>
    <row r="45" spans="1:11" ht="15.75">
      <c r="A45" s="111" t="s">
        <v>31</v>
      </c>
      <c r="B45" s="83"/>
      <c r="C45" s="52"/>
      <c r="D45" s="83"/>
      <c r="E45" s="70"/>
      <c r="G45" s="46" t="s">
        <v>31</v>
      </c>
      <c r="H45" s="12"/>
      <c r="I45" s="12"/>
      <c r="J45" s="12"/>
      <c r="K45" s="12"/>
    </row>
    <row r="46" spans="1:11" ht="15.75">
      <c r="A46" s="57" t="s">
        <v>32</v>
      </c>
      <c r="B46" s="83">
        <v>6000</v>
      </c>
      <c r="C46" s="62">
        <f>+B46/B48</f>
        <v>0.01090909090909091</v>
      </c>
      <c r="D46" s="83">
        <v>50000</v>
      </c>
      <c r="E46" s="63">
        <f>+D46/D48</f>
        <v>0.21739130434782608</v>
      </c>
      <c r="G46" s="8" t="s">
        <v>32</v>
      </c>
      <c r="H46" s="12">
        <f>6000+920000</f>
        <v>926000</v>
      </c>
      <c r="I46" s="13"/>
      <c r="J46" s="12">
        <v>50000</v>
      </c>
      <c r="K46" s="13"/>
    </row>
    <row r="47" spans="1:11" ht="15.75">
      <c r="A47" s="57" t="s">
        <v>33</v>
      </c>
      <c r="B47" s="83">
        <v>544000</v>
      </c>
      <c r="C47" s="62">
        <f>+B47/B48</f>
        <v>0.9890909090909091</v>
      </c>
      <c r="D47" s="83">
        <v>180000</v>
      </c>
      <c r="E47" s="63">
        <f>+D47/D48</f>
        <v>0.782608695652174</v>
      </c>
      <c r="G47" s="8" t="s">
        <v>33</v>
      </c>
      <c r="H47" s="12">
        <f>210000+420000</f>
        <v>630000</v>
      </c>
      <c r="I47" s="13"/>
      <c r="J47" s="12">
        <v>180000</v>
      </c>
      <c r="K47" s="13"/>
    </row>
    <row r="48" spans="1:11" ht="15.75">
      <c r="A48" s="111" t="s">
        <v>90</v>
      </c>
      <c r="B48" s="87">
        <f>SUM(B46:B47)</f>
        <v>550000</v>
      </c>
      <c r="C48" s="88">
        <f>+B48/B50</f>
        <v>0.13519891447562488</v>
      </c>
      <c r="D48" s="87">
        <f>SUM(D46:D47)</f>
        <v>230000</v>
      </c>
      <c r="E48" s="89">
        <f>+D48/D50</f>
        <v>0.4910500785680126</v>
      </c>
      <c r="G48" s="46" t="s">
        <v>90</v>
      </c>
      <c r="H48" s="9">
        <f>SUM(H46:H47)</f>
        <v>1556000</v>
      </c>
      <c r="I48" s="10"/>
      <c r="J48" s="9">
        <f>SUM(J46:J47)</f>
        <v>230000</v>
      </c>
      <c r="K48" s="10"/>
    </row>
    <row r="49" spans="1:11" ht="15.75">
      <c r="A49" s="60"/>
      <c r="B49" s="83"/>
      <c r="C49" s="62"/>
      <c r="D49" s="83"/>
      <c r="E49" s="63"/>
      <c r="G49" s="46"/>
      <c r="H49" s="47"/>
      <c r="I49" s="13"/>
      <c r="J49" s="47"/>
      <c r="K49" s="13"/>
    </row>
    <row r="50" spans="1:11" ht="16.5" thickBot="1">
      <c r="A50" s="113" t="s">
        <v>86</v>
      </c>
      <c r="B50" s="136">
        <f>+B42+B48</f>
        <v>4068080</v>
      </c>
      <c r="C50" s="91">
        <f>+C42+C48</f>
        <v>1</v>
      </c>
      <c r="D50" s="90">
        <f>+D42+D48</f>
        <v>468384</v>
      </c>
      <c r="E50" s="92">
        <f>+E42+E48</f>
        <v>1</v>
      </c>
      <c r="G50" s="46" t="s">
        <v>86</v>
      </c>
      <c r="H50" s="11">
        <f>+H43+H48</f>
        <v>2295964</v>
      </c>
      <c r="I50" s="50"/>
      <c r="J50" s="11">
        <f>+J43+J48</f>
        <v>468384</v>
      </c>
      <c r="K50" s="50"/>
    </row>
    <row r="51" spans="1:11" ht="16.5" thickTop="1">
      <c r="A51" s="60"/>
      <c r="B51" s="83"/>
      <c r="C51" s="62"/>
      <c r="D51" s="83"/>
      <c r="E51" s="63"/>
      <c r="G51" s="46"/>
      <c r="H51" s="47"/>
      <c r="I51" s="13"/>
      <c r="J51" s="47"/>
      <c r="K51" s="13"/>
    </row>
    <row r="52" spans="1:11" ht="15.75">
      <c r="A52" s="111" t="s">
        <v>34</v>
      </c>
      <c r="B52" s="83"/>
      <c r="C52" s="52"/>
      <c r="D52" s="83"/>
      <c r="E52" s="59"/>
      <c r="G52" s="46" t="s">
        <v>34</v>
      </c>
      <c r="H52" s="12"/>
      <c r="I52" s="12"/>
      <c r="J52" s="12"/>
      <c r="K52" s="7"/>
    </row>
    <row r="53" spans="1:11" ht="15.75">
      <c r="A53" s="57" t="s">
        <v>35</v>
      </c>
      <c r="B53" s="83">
        <v>354000</v>
      </c>
      <c r="C53" s="62">
        <f>+B53/$B$58</f>
        <v>0.3675875045169651</v>
      </c>
      <c r="D53" s="83">
        <v>300000</v>
      </c>
      <c r="E53" s="63">
        <f>+D53/$D$58</f>
        <v>0.38819072068901267</v>
      </c>
      <c r="G53" s="8" t="s">
        <v>35</v>
      </c>
      <c r="H53" s="12">
        <v>354000</v>
      </c>
      <c r="I53" s="13"/>
      <c r="J53" s="12">
        <v>300000</v>
      </c>
      <c r="K53" s="13"/>
    </row>
    <row r="54" spans="1:11" ht="15.75">
      <c r="A54" s="57" t="s">
        <v>36</v>
      </c>
      <c r="B54" s="83">
        <v>9000</v>
      </c>
      <c r="C54" s="62">
        <f>+B54/$B$58</f>
        <v>0.009345445030092332</v>
      </c>
      <c r="D54" s="83">
        <v>5000</v>
      </c>
      <c r="E54" s="63">
        <f>+D54/$D$58</f>
        <v>0.006469845344816877</v>
      </c>
      <c r="G54" s="8" t="s">
        <v>36</v>
      </c>
      <c r="H54" s="12">
        <v>9000</v>
      </c>
      <c r="I54" s="13"/>
      <c r="J54" s="12">
        <v>5000</v>
      </c>
      <c r="K54" s="13"/>
    </row>
    <row r="55" spans="1:11" ht="15.75">
      <c r="A55" s="57" t="s">
        <v>37</v>
      </c>
      <c r="B55" s="83">
        <v>531000</v>
      </c>
      <c r="C55" s="62">
        <f>+B55/$B$58</f>
        <v>0.5513812567754477</v>
      </c>
      <c r="D55" s="83">
        <v>306500</v>
      </c>
      <c r="E55" s="63">
        <f>+D55/$D$58</f>
        <v>0.3966015196372746</v>
      </c>
      <c r="G55" s="8" t="s">
        <v>37</v>
      </c>
      <c r="H55" s="12">
        <v>531000</v>
      </c>
      <c r="I55" s="13"/>
      <c r="J55" s="12">
        <v>306500</v>
      </c>
      <c r="K55" s="13"/>
    </row>
    <row r="56" spans="1:11" ht="15.75">
      <c r="A56" s="57" t="s">
        <v>38</v>
      </c>
      <c r="B56" s="83">
        <v>32116</v>
      </c>
      <c r="C56" s="62">
        <f>+B56/$B$58</f>
        <v>0.03334870139849393</v>
      </c>
      <c r="D56" s="83">
        <v>80000</v>
      </c>
      <c r="E56" s="63">
        <f>+D56/$D$58</f>
        <v>0.10351752551707004</v>
      </c>
      <c r="G56" s="8" t="s">
        <v>38</v>
      </c>
      <c r="H56" s="12">
        <v>32116</v>
      </c>
      <c r="I56" s="13"/>
      <c r="J56" s="12">
        <v>80000</v>
      </c>
      <c r="K56" s="13"/>
    </row>
    <row r="57" spans="1:11" ht="15.75">
      <c r="A57" s="57" t="s">
        <v>39</v>
      </c>
      <c r="B57" s="79">
        <f>+B90</f>
        <v>36920</v>
      </c>
      <c r="C57" s="62">
        <f>+B57/$B$58</f>
        <v>0.03833709227900099</v>
      </c>
      <c r="D57" s="79">
        <v>81316</v>
      </c>
      <c r="E57" s="63">
        <f>+D57/$D$58</f>
        <v>0.10522038881182584</v>
      </c>
      <c r="G57" s="8" t="s">
        <v>39</v>
      </c>
      <c r="H57" s="15">
        <f>+H90</f>
        <v>61920</v>
      </c>
      <c r="I57" s="13"/>
      <c r="J57" s="15">
        <v>81316</v>
      </c>
      <c r="K57" s="13"/>
    </row>
    <row r="58" spans="1:11" ht="15.75">
      <c r="A58" s="114" t="s">
        <v>40</v>
      </c>
      <c r="B58" s="134">
        <f>SUM(B53:B57)</f>
        <v>963036</v>
      </c>
      <c r="C58" s="88">
        <f>SUM(C53:C57)</f>
        <v>1</v>
      </c>
      <c r="D58" s="87">
        <f>SUM(D53:D57)</f>
        <v>772816</v>
      </c>
      <c r="E58" s="89">
        <f>SUM(E53:E57)</f>
        <v>1</v>
      </c>
      <c r="G58" s="46" t="s">
        <v>40</v>
      </c>
      <c r="H58" s="9">
        <f>SUM(H53:H57)</f>
        <v>988036</v>
      </c>
      <c r="I58" s="10"/>
      <c r="J58" s="9">
        <f>SUM(J53:J57)</f>
        <v>772816</v>
      </c>
      <c r="K58" s="10"/>
    </row>
    <row r="59" spans="1:11" ht="15.75">
      <c r="A59" s="57"/>
      <c r="B59" s="83"/>
      <c r="C59" s="52"/>
      <c r="D59" s="83"/>
      <c r="E59" s="59"/>
      <c r="G59" s="8"/>
      <c r="H59" s="12"/>
      <c r="I59" s="12"/>
      <c r="J59" s="12"/>
      <c r="K59" s="7"/>
    </row>
    <row r="60" spans="1:11" ht="16.5" thickBot="1">
      <c r="A60" s="114" t="s">
        <v>77</v>
      </c>
      <c r="B60" s="87">
        <f>+B42+B48+B58</f>
        <v>5031116</v>
      </c>
      <c r="C60" s="52"/>
      <c r="D60" s="87">
        <f>+D42+D48+D58</f>
        <v>1241200</v>
      </c>
      <c r="E60" s="59"/>
      <c r="G60" s="46" t="s">
        <v>77</v>
      </c>
      <c r="H60" s="11">
        <f>+H43+H48+H58</f>
        <v>3284000</v>
      </c>
      <c r="I60" s="12"/>
      <c r="J60" s="11">
        <f>+J43+J48+J58</f>
        <v>1241200</v>
      </c>
      <c r="K60" s="7"/>
    </row>
    <row r="61" spans="1:5" ht="13.5" thickTop="1">
      <c r="A61" s="72"/>
      <c r="B61" s="73"/>
      <c r="C61" s="73"/>
      <c r="D61" s="73"/>
      <c r="E61" s="74"/>
    </row>
    <row r="62" spans="1:8" ht="15.75">
      <c r="A62" s="115" t="s">
        <v>163</v>
      </c>
      <c r="B62" s="116"/>
      <c r="C62" s="73"/>
      <c r="D62" s="73"/>
      <c r="E62" s="74"/>
      <c r="G62" s="8" t="s">
        <v>142</v>
      </c>
      <c r="H62" s="6"/>
    </row>
    <row r="63" spans="1:8" ht="15.75">
      <c r="A63" s="108" t="s">
        <v>164</v>
      </c>
      <c r="B63" s="117"/>
      <c r="C63" s="75"/>
      <c r="D63" s="75"/>
      <c r="E63" s="76"/>
      <c r="G63" s="8" t="s">
        <v>143</v>
      </c>
      <c r="H63" s="6"/>
    </row>
    <row r="64" spans="1:8" ht="15">
      <c r="A64" s="8"/>
      <c r="B64" s="6"/>
      <c r="G64" s="8"/>
      <c r="H64" s="6"/>
    </row>
    <row r="65" spans="1:11" ht="15.75">
      <c r="A65" s="54"/>
      <c r="B65" s="118" t="s">
        <v>170</v>
      </c>
      <c r="C65" s="119"/>
      <c r="D65" s="55"/>
      <c r="E65" s="56"/>
      <c r="G65" s="8"/>
      <c r="H65" s="46"/>
      <c r="I65" s="46" t="s">
        <v>0</v>
      </c>
      <c r="J65" s="46"/>
      <c r="K65" s="7"/>
    </row>
    <row r="66" spans="1:11" ht="15.75">
      <c r="A66" s="57"/>
      <c r="B66" s="101" t="s">
        <v>169</v>
      </c>
      <c r="C66" s="120"/>
      <c r="D66" s="58"/>
      <c r="E66" s="59"/>
      <c r="G66" s="8"/>
      <c r="H66" s="46" t="s">
        <v>92</v>
      </c>
      <c r="I66" s="46"/>
      <c r="J66" s="46"/>
      <c r="K66" s="7"/>
    </row>
    <row r="67" spans="1:11" ht="15.75">
      <c r="A67" s="60"/>
      <c r="B67" s="122" t="s">
        <v>171</v>
      </c>
      <c r="C67" s="121"/>
      <c r="D67" s="58"/>
      <c r="E67" s="59"/>
      <c r="G67" s="46" t="s">
        <v>93</v>
      </c>
      <c r="H67" s="46"/>
      <c r="I67" s="46"/>
      <c r="J67" s="46"/>
      <c r="K67" s="7"/>
    </row>
    <row r="68" spans="1:11" ht="15.75">
      <c r="A68" s="57"/>
      <c r="B68" s="61"/>
      <c r="C68" s="61"/>
      <c r="D68" s="61"/>
      <c r="E68" s="59"/>
      <c r="F68">
        <v>22</v>
      </c>
      <c r="G68" s="8"/>
      <c r="H68" s="8"/>
      <c r="I68" s="8"/>
      <c r="J68" s="8"/>
      <c r="K68" s="7"/>
    </row>
    <row r="69" spans="1:11" ht="15.75">
      <c r="A69" s="57"/>
      <c r="B69" s="61"/>
      <c r="C69" s="61"/>
      <c r="D69" s="61"/>
      <c r="E69" s="59"/>
      <c r="F69">
        <v>100</v>
      </c>
      <c r="G69" s="8"/>
      <c r="H69" s="8"/>
      <c r="I69" s="8"/>
      <c r="J69" s="8"/>
      <c r="K69" s="7"/>
    </row>
    <row r="70" spans="1:11" ht="15.75">
      <c r="A70" s="57"/>
      <c r="B70" s="97" t="s">
        <v>177</v>
      </c>
      <c r="C70" s="123" t="s">
        <v>166</v>
      </c>
      <c r="D70" s="97" t="s">
        <v>178</v>
      </c>
      <c r="E70" s="123" t="s">
        <v>166</v>
      </c>
      <c r="F70">
        <f>+F69-F68</f>
        <v>78</v>
      </c>
      <c r="G70" s="8"/>
      <c r="H70" s="49" t="s">
        <v>135</v>
      </c>
      <c r="I70" s="8"/>
      <c r="J70" s="49" t="s">
        <v>91</v>
      </c>
      <c r="K70" s="7"/>
    </row>
    <row r="71" spans="1:11" ht="15.75">
      <c r="A71" s="57"/>
      <c r="B71" s="78"/>
      <c r="C71" s="61"/>
      <c r="D71" s="78"/>
      <c r="E71" s="59"/>
      <c r="F71">
        <v>5</v>
      </c>
      <c r="G71" s="8"/>
      <c r="H71" s="8"/>
      <c r="I71" s="8"/>
      <c r="J71" s="8"/>
      <c r="K71" s="7"/>
    </row>
    <row r="72" spans="1:11" ht="15.75">
      <c r="A72" s="57" t="s">
        <v>41</v>
      </c>
      <c r="B72" s="137">
        <v>3070000</v>
      </c>
      <c r="C72" s="53"/>
      <c r="D72" s="79">
        <v>2300000</v>
      </c>
      <c r="E72" s="59"/>
      <c r="F72">
        <f>+F70-F71</f>
        <v>73</v>
      </c>
      <c r="G72" s="8" t="s">
        <v>41</v>
      </c>
      <c r="H72" s="15">
        <f>2800000+370000</f>
        <v>3170000</v>
      </c>
      <c r="I72" s="15"/>
      <c r="J72" s="15">
        <v>2300000</v>
      </c>
      <c r="K72" s="7"/>
    </row>
    <row r="73" spans="1:11" ht="15.75">
      <c r="A73" s="57" t="s">
        <v>42</v>
      </c>
      <c r="B73" s="79">
        <v>2000000</v>
      </c>
      <c r="C73" s="62"/>
      <c r="D73" s="79">
        <v>1610000</v>
      </c>
      <c r="E73" s="63">
        <f>+D73/D72</f>
        <v>0.7</v>
      </c>
      <c r="F73">
        <v>20</v>
      </c>
      <c r="G73" s="8" t="s">
        <v>42</v>
      </c>
      <c r="H73" s="15">
        <f>2000000+259000</f>
        <v>2259000</v>
      </c>
      <c r="I73" s="13"/>
      <c r="J73" s="15">
        <v>1610000</v>
      </c>
      <c r="K73" s="13"/>
    </row>
    <row r="74" spans="1:11" ht="15.75">
      <c r="A74" s="64" t="s">
        <v>43</v>
      </c>
      <c r="B74" s="93">
        <f>+B72-B73</f>
        <v>1070000</v>
      </c>
      <c r="C74" s="53"/>
      <c r="D74" s="93">
        <f>+D72-D73</f>
        <v>690000</v>
      </c>
      <c r="E74" s="59"/>
      <c r="F74">
        <f>+F72-F73</f>
        <v>53</v>
      </c>
      <c r="G74" s="46" t="s">
        <v>43</v>
      </c>
      <c r="H74" s="3">
        <f>+H72-H73</f>
        <v>911000</v>
      </c>
      <c r="I74" s="15"/>
      <c r="J74" s="3">
        <f>+J72-J73</f>
        <v>690000</v>
      </c>
      <c r="K74" s="7"/>
    </row>
    <row r="75" spans="1:11" ht="15.75">
      <c r="A75" s="57"/>
      <c r="B75" s="79"/>
      <c r="C75" s="53"/>
      <c r="D75" s="79"/>
      <c r="E75" s="59"/>
      <c r="G75" s="8"/>
      <c r="H75" s="15"/>
      <c r="I75" s="15"/>
      <c r="J75" s="15"/>
      <c r="K75" s="7"/>
    </row>
    <row r="76" spans="1:11" ht="15.75">
      <c r="A76" s="57" t="s">
        <v>44</v>
      </c>
      <c r="B76" s="79">
        <v>160000</v>
      </c>
      <c r="C76" s="62"/>
      <c r="D76" s="79">
        <v>150000</v>
      </c>
      <c r="E76" s="63">
        <f>+D76/D72</f>
        <v>0.06521739130434782</v>
      </c>
      <c r="G76" s="8" t="s">
        <v>44</v>
      </c>
      <c r="H76" s="15">
        <v>160000</v>
      </c>
      <c r="I76" s="13"/>
      <c r="J76" s="15">
        <v>150000</v>
      </c>
      <c r="K76" s="13"/>
    </row>
    <row r="77" spans="1:11" ht="15.75">
      <c r="A77" s="57"/>
      <c r="B77" s="79"/>
      <c r="C77" s="53"/>
      <c r="D77" s="79"/>
      <c r="E77" s="59"/>
      <c r="G77" s="8"/>
      <c r="H77" s="15"/>
      <c r="I77" s="15"/>
      <c r="J77" s="15"/>
      <c r="K77" s="7"/>
    </row>
    <row r="78" spans="1:11" ht="15.75">
      <c r="A78" s="57" t="s">
        <v>45</v>
      </c>
      <c r="B78" s="79">
        <v>300000</v>
      </c>
      <c r="C78" s="62"/>
      <c r="D78" s="79">
        <v>230000</v>
      </c>
      <c r="E78" s="63">
        <f>+D78/D72</f>
        <v>0.1</v>
      </c>
      <c r="G78" s="8" t="s">
        <v>45</v>
      </c>
      <c r="H78" s="15">
        <f>300000+150000</f>
        <v>450000</v>
      </c>
      <c r="I78" s="13"/>
      <c r="J78" s="15">
        <v>230000</v>
      </c>
      <c r="K78" s="13"/>
    </row>
    <row r="79" spans="1:11" ht="15.75">
      <c r="A79" s="57"/>
      <c r="B79" s="79"/>
      <c r="C79" s="53"/>
      <c r="D79" s="79"/>
      <c r="E79" s="59"/>
      <c r="G79" s="8"/>
      <c r="H79" s="15"/>
      <c r="I79" s="15"/>
      <c r="J79" s="15"/>
      <c r="K79" s="7"/>
    </row>
    <row r="80" spans="1:11" ht="15.75">
      <c r="A80" s="77" t="s">
        <v>167</v>
      </c>
      <c r="B80" s="93">
        <f>+B76+B78</f>
        <v>460000</v>
      </c>
      <c r="C80" s="62"/>
      <c r="D80" s="93">
        <f>+D76+D78</f>
        <v>380000</v>
      </c>
      <c r="E80" s="59"/>
      <c r="G80" s="8" t="s">
        <v>50</v>
      </c>
      <c r="H80" s="3">
        <f>+H76+H78</f>
        <v>610000</v>
      </c>
      <c r="I80" s="13"/>
      <c r="J80" s="3">
        <f>+J76+J78</f>
        <v>380000</v>
      </c>
      <c r="K80" s="7"/>
    </row>
    <row r="81" spans="1:11" ht="15.75">
      <c r="A81" s="57"/>
      <c r="B81" s="79"/>
      <c r="C81" s="53"/>
      <c r="D81" s="79"/>
      <c r="E81" s="59"/>
      <c r="G81" s="8"/>
      <c r="H81" s="18"/>
      <c r="I81" s="18"/>
      <c r="J81" s="18"/>
      <c r="K81" s="7"/>
    </row>
    <row r="82" spans="1:11" ht="15.75">
      <c r="A82" s="64" t="s">
        <v>46</v>
      </c>
      <c r="B82" s="94">
        <f>+B74-B80</f>
        <v>610000</v>
      </c>
      <c r="C82" s="53"/>
      <c r="D82" s="94">
        <f>+D74-D80</f>
        <v>310000</v>
      </c>
      <c r="E82" s="59"/>
      <c r="G82" s="46" t="s">
        <v>46</v>
      </c>
      <c r="H82" s="16">
        <f>+H74-H80</f>
        <v>301000</v>
      </c>
      <c r="I82" s="15"/>
      <c r="J82" s="16">
        <f>+J74-J80</f>
        <v>310000</v>
      </c>
      <c r="K82" s="7"/>
    </row>
    <row r="83" spans="1:11" ht="15.75">
      <c r="A83" s="57"/>
      <c r="B83" s="79"/>
      <c r="C83" s="53"/>
      <c r="D83" s="79"/>
      <c r="E83" s="59"/>
      <c r="G83" s="8"/>
      <c r="H83" s="15"/>
      <c r="I83" s="15"/>
      <c r="J83" s="15"/>
      <c r="K83" s="7"/>
    </row>
    <row r="84" spans="1:11" ht="15.75">
      <c r="A84" s="57" t="s">
        <v>69</v>
      </c>
      <c r="B84" s="79">
        <v>500000</v>
      </c>
      <c r="C84" s="62"/>
      <c r="D84" s="79">
        <v>169800</v>
      </c>
      <c r="E84" s="63">
        <f>+D84/D72</f>
        <v>0.07382608695652174</v>
      </c>
      <c r="G84" s="8" t="s">
        <v>69</v>
      </c>
      <c r="H84" s="15">
        <v>166000</v>
      </c>
      <c r="I84" s="13"/>
      <c r="J84" s="15">
        <v>169800</v>
      </c>
      <c r="K84" s="13"/>
    </row>
    <row r="85" spans="1:11" ht="15.75">
      <c r="A85" s="57"/>
      <c r="B85" s="79"/>
      <c r="C85" s="53"/>
      <c r="D85" s="79"/>
      <c r="E85" s="59"/>
      <c r="G85" s="8"/>
      <c r="H85" s="15"/>
      <c r="I85" s="15"/>
      <c r="J85" s="15"/>
      <c r="K85" s="7"/>
    </row>
    <row r="86" spans="1:11" ht="15.75">
      <c r="A86" s="64" t="s">
        <v>47</v>
      </c>
      <c r="B86" s="93">
        <f>+B82-B84</f>
        <v>110000</v>
      </c>
      <c r="C86" s="53"/>
      <c r="D86" s="93">
        <f>+D82-D84</f>
        <v>140200</v>
      </c>
      <c r="E86" s="59"/>
      <c r="G86" s="46" t="s">
        <v>47</v>
      </c>
      <c r="H86" s="3">
        <f>+H82-H84</f>
        <v>135000</v>
      </c>
      <c r="I86" s="15"/>
      <c r="J86" s="3">
        <f>+J82-J84</f>
        <v>140200</v>
      </c>
      <c r="K86" s="7"/>
    </row>
    <row r="87" spans="1:11" ht="15.75">
      <c r="A87" s="57"/>
      <c r="B87" s="79"/>
      <c r="C87" s="53"/>
      <c r="D87" s="79"/>
      <c r="E87" s="59"/>
      <c r="G87" s="8"/>
      <c r="H87" s="15"/>
      <c r="I87" s="15"/>
      <c r="J87" s="15"/>
      <c r="K87" s="7"/>
    </row>
    <row r="88" spans="1:11" ht="15.75">
      <c r="A88" s="57" t="s">
        <v>48</v>
      </c>
      <c r="B88" s="79">
        <v>73080</v>
      </c>
      <c r="C88" s="62"/>
      <c r="D88" s="79">
        <v>58884</v>
      </c>
      <c r="E88" s="63">
        <f>+D88/D72</f>
        <v>0.025601739130434783</v>
      </c>
      <c r="G88" s="8" t="s">
        <v>48</v>
      </c>
      <c r="H88" s="15">
        <v>73080</v>
      </c>
      <c r="I88" s="13"/>
      <c r="J88" s="15">
        <v>58884</v>
      </c>
      <c r="K88" s="13"/>
    </row>
    <row r="89" spans="1:11" ht="15.75">
      <c r="A89" s="57"/>
      <c r="B89" s="79"/>
      <c r="C89" s="53"/>
      <c r="D89" s="79"/>
      <c r="E89" s="59"/>
      <c r="G89" s="8"/>
      <c r="H89" s="15"/>
      <c r="I89" s="15"/>
      <c r="J89" s="15"/>
      <c r="K89" s="7"/>
    </row>
    <row r="90" spans="1:11" ht="16.5" thickBot="1">
      <c r="A90" s="65" t="s">
        <v>49</v>
      </c>
      <c r="B90" s="95">
        <f>+B86-B88</f>
        <v>36920</v>
      </c>
      <c r="C90" s="62"/>
      <c r="D90" s="95">
        <f>+D86-D88</f>
        <v>81316</v>
      </c>
      <c r="E90" s="63">
        <f>+D90/D72</f>
        <v>0.03535478260869565</v>
      </c>
      <c r="G90" s="8" t="s">
        <v>49</v>
      </c>
      <c r="H90" s="17">
        <f>+H86-H88</f>
        <v>61920</v>
      </c>
      <c r="I90" s="13"/>
      <c r="J90" s="17">
        <f>+J86-J88</f>
        <v>81316</v>
      </c>
      <c r="K90" s="13"/>
    </row>
    <row r="91" spans="1:11" ht="16.5" thickTop="1">
      <c r="A91" s="57"/>
      <c r="B91" s="80"/>
      <c r="C91" s="96"/>
      <c r="D91" s="80"/>
      <c r="E91" s="96">
        <f>SUM(E72:E90)</f>
        <v>0.9999999999999998</v>
      </c>
      <c r="G91" s="8"/>
      <c r="H91" s="7"/>
      <c r="I91" s="13"/>
      <c r="J91" s="7"/>
      <c r="K91" s="13"/>
    </row>
    <row r="92" spans="1:5" ht="15">
      <c r="A92" s="66"/>
      <c r="B92" s="81"/>
      <c r="C92" s="67"/>
      <c r="D92" s="81"/>
      <c r="E92" s="68"/>
    </row>
    <row r="94" spans="1:6" ht="22.5">
      <c r="A94" s="33" t="s">
        <v>51</v>
      </c>
      <c r="B94" s="22"/>
      <c r="C94" s="22"/>
      <c r="D94" s="22"/>
      <c r="E94" s="23"/>
      <c r="F94" s="24"/>
    </row>
    <row r="95" spans="1:6" ht="19.5">
      <c r="A95" s="42" t="s">
        <v>95</v>
      </c>
      <c r="B95" s="22"/>
      <c r="C95" s="22"/>
      <c r="D95" s="22"/>
      <c r="E95" s="23"/>
      <c r="F95" s="24"/>
    </row>
    <row r="96" spans="1:6" ht="19.5">
      <c r="A96" s="42" t="s">
        <v>96</v>
      </c>
      <c r="B96" s="22"/>
      <c r="C96" s="22"/>
      <c r="D96" s="22"/>
      <c r="E96" s="23"/>
      <c r="F96" s="24"/>
    </row>
    <row r="97" spans="1:6" ht="22.5">
      <c r="A97" s="35" t="s">
        <v>52</v>
      </c>
      <c r="B97" s="37">
        <f>+B15</f>
        <v>4043116</v>
      </c>
      <c r="C97" s="36"/>
      <c r="D97" s="38">
        <f>+B97/B98</f>
        <v>1.1492393578315445</v>
      </c>
      <c r="E97" s="23"/>
      <c r="F97" s="24"/>
    </row>
    <row r="98" spans="1:6" ht="18">
      <c r="A98" s="36"/>
      <c r="B98" s="39">
        <f>+B42</f>
        <v>3518080</v>
      </c>
      <c r="C98" s="36"/>
      <c r="D98" s="38"/>
      <c r="E98" s="23"/>
      <c r="F98" s="24"/>
    </row>
    <row r="99" spans="1:6" ht="18">
      <c r="A99" s="36"/>
      <c r="B99" s="36"/>
      <c r="C99" s="36"/>
      <c r="D99" s="38"/>
      <c r="E99" s="23"/>
      <c r="F99" s="24"/>
    </row>
    <row r="100" spans="1:6" ht="22.5">
      <c r="A100" s="35" t="s">
        <v>53</v>
      </c>
      <c r="B100" s="37">
        <f>+B97-B11</f>
        <v>3043116</v>
      </c>
      <c r="C100" s="36"/>
      <c r="D100" s="38">
        <f>+B100/B101</f>
        <v>0.8649934054939058</v>
      </c>
      <c r="E100" s="23"/>
      <c r="F100" s="24"/>
    </row>
    <row r="101" spans="1:6" ht="18">
      <c r="A101" s="36"/>
      <c r="B101" s="39">
        <f>+B98</f>
        <v>3518080</v>
      </c>
      <c r="C101" s="22"/>
      <c r="D101" s="28"/>
      <c r="E101" s="23"/>
      <c r="F101" s="24"/>
    </row>
    <row r="102" spans="1:6" ht="18">
      <c r="A102" s="36"/>
      <c r="B102" s="39"/>
      <c r="C102" s="22"/>
      <c r="D102" s="28"/>
      <c r="E102" s="23"/>
      <c r="F102" s="24"/>
    </row>
    <row r="103" spans="1:6" ht="18">
      <c r="A103" s="36" t="s">
        <v>174</v>
      </c>
      <c r="B103" s="39">
        <f>+B8+B13</f>
        <v>25116</v>
      </c>
      <c r="C103" s="22"/>
      <c r="D103" s="132">
        <f>+B103/B104</f>
        <v>0.007139121338912134</v>
      </c>
      <c r="E103" s="23"/>
      <c r="F103" s="24"/>
    </row>
    <row r="104" spans="1:6" ht="18">
      <c r="A104" s="36"/>
      <c r="B104" s="39">
        <f>+B101</f>
        <v>3518080</v>
      </c>
      <c r="C104" s="22"/>
      <c r="D104" s="28"/>
      <c r="E104" s="23"/>
      <c r="F104" s="24"/>
    </row>
    <row r="105" spans="1:6" ht="18">
      <c r="A105" s="36"/>
      <c r="B105" s="39"/>
      <c r="C105" s="22"/>
      <c r="D105" s="28"/>
      <c r="E105" s="23"/>
      <c r="F105" s="24"/>
    </row>
    <row r="106" spans="1:6" ht="18">
      <c r="A106" s="36"/>
      <c r="B106" s="39">
        <f>+B97-B98</f>
        <v>525036</v>
      </c>
      <c r="C106" s="22"/>
      <c r="D106" s="28">
        <f>+B106/B107</f>
        <v>0.1492393578315445</v>
      </c>
      <c r="E106" s="23"/>
      <c r="F106" s="24"/>
    </row>
    <row r="107" spans="1:6" ht="18">
      <c r="A107" s="36" t="s">
        <v>175</v>
      </c>
      <c r="B107" s="39">
        <f>+B101</f>
        <v>3518080</v>
      </c>
      <c r="C107" s="22"/>
      <c r="D107" s="28"/>
      <c r="E107" s="23"/>
      <c r="F107" s="24"/>
    </row>
    <row r="108" spans="1:6" ht="18">
      <c r="A108" s="36"/>
      <c r="B108" s="39"/>
      <c r="C108" s="22"/>
      <c r="D108" s="28"/>
      <c r="E108" s="23"/>
      <c r="F108" s="24"/>
    </row>
    <row r="109" spans="1:6" ht="18">
      <c r="A109" s="36"/>
      <c r="B109" s="39"/>
      <c r="C109" s="22"/>
      <c r="D109" s="28"/>
      <c r="E109" s="23"/>
      <c r="F109" s="24"/>
    </row>
    <row r="110" spans="1:6" ht="19.5">
      <c r="A110" s="42" t="s">
        <v>97</v>
      </c>
      <c r="B110" s="39"/>
      <c r="C110" s="22"/>
      <c r="D110" s="28"/>
      <c r="E110" s="23"/>
      <c r="F110" s="24"/>
    </row>
    <row r="111" spans="1:6" ht="18">
      <c r="A111" s="36" t="s">
        <v>136</v>
      </c>
      <c r="B111" s="29"/>
      <c r="C111" s="22"/>
      <c r="D111" s="28"/>
      <c r="E111" s="23"/>
      <c r="F111" s="24"/>
    </row>
    <row r="112" spans="1:6" ht="18">
      <c r="A112" s="36" t="s">
        <v>137</v>
      </c>
      <c r="B112" s="29"/>
      <c r="C112" s="22"/>
      <c r="D112" s="28"/>
      <c r="E112" s="23"/>
      <c r="F112" s="24"/>
    </row>
    <row r="113" spans="1:6" ht="18">
      <c r="A113" s="36" t="s">
        <v>138</v>
      </c>
      <c r="B113" s="29"/>
      <c r="C113" s="22"/>
      <c r="D113" s="28"/>
      <c r="E113" s="23"/>
      <c r="F113" s="24"/>
    </row>
    <row r="114" spans="1:6" ht="18">
      <c r="A114" s="22"/>
      <c r="B114" s="29"/>
      <c r="C114" s="22"/>
      <c r="D114" s="28"/>
      <c r="E114" s="23"/>
      <c r="F114" s="24"/>
    </row>
    <row r="115" spans="1:6" ht="18">
      <c r="A115" s="22"/>
      <c r="B115" s="29"/>
      <c r="C115" s="22"/>
      <c r="D115" s="28"/>
      <c r="E115" s="23"/>
      <c r="F115" s="24"/>
    </row>
    <row r="116" spans="1:6" ht="22.5">
      <c r="A116" s="34" t="s">
        <v>54</v>
      </c>
      <c r="B116" s="22"/>
      <c r="C116" s="22"/>
      <c r="D116" s="28"/>
      <c r="E116" s="23"/>
      <c r="F116" s="24"/>
    </row>
    <row r="117" spans="1:6" ht="19.5">
      <c r="A117" s="42" t="s">
        <v>98</v>
      </c>
      <c r="B117" s="22"/>
      <c r="C117" s="22"/>
      <c r="D117" s="28"/>
      <c r="E117" s="23"/>
      <c r="F117" s="24"/>
    </row>
    <row r="118" spans="1:6" ht="19.5">
      <c r="A118" s="42" t="s">
        <v>99</v>
      </c>
      <c r="B118" s="22"/>
      <c r="C118" s="22"/>
      <c r="D118" s="28"/>
      <c r="E118" s="23"/>
      <c r="F118" s="24"/>
    </row>
    <row r="119" spans="1:6" ht="22.5">
      <c r="A119" s="35" t="s">
        <v>100</v>
      </c>
      <c r="B119" s="37">
        <f>SUM(B42+B48)</f>
        <v>4068080</v>
      </c>
      <c r="C119" s="36"/>
      <c r="D119" s="40">
        <f>+(+B119/+B120)</f>
        <v>0.8085840199271891</v>
      </c>
      <c r="E119" s="25"/>
      <c r="F119" s="24"/>
    </row>
    <row r="120" spans="1:6" ht="18">
      <c r="A120" s="36"/>
      <c r="B120" s="39">
        <f>+B34</f>
        <v>5031116</v>
      </c>
      <c r="C120" s="36"/>
      <c r="D120" s="38"/>
      <c r="E120" s="25"/>
      <c r="F120" s="24"/>
    </row>
    <row r="121" spans="1:6" ht="18">
      <c r="A121" s="36"/>
      <c r="B121" s="36"/>
      <c r="C121" s="36"/>
      <c r="D121" s="38"/>
      <c r="E121" s="25"/>
      <c r="F121" s="24"/>
    </row>
    <row r="122" spans="1:6" ht="22.5">
      <c r="A122" s="35" t="s">
        <v>101</v>
      </c>
      <c r="B122" s="37">
        <f>+B58</f>
        <v>963036</v>
      </c>
      <c r="C122" s="36"/>
      <c r="D122" s="40">
        <f>+B122/B123</f>
        <v>0.19141598007281088</v>
      </c>
      <c r="E122" s="25"/>
      <c r="F122" s="24"/>
    </row>
    <row r="123" spans="1:6" ht="18">
      <c r="A123" s="36"/>
      <c r="B123" s="39">
        <f>+B34</f>
        <v>5031116</v>
      </c>
      <c r="C123" s="36"/>
      <c r="D123" s="38"/>
      <c r="E123" s="25"/>
      <c r="F123" s="24"/>
    </row>
    <row r="124" spans="1:6" ht="18">
      <c r="A124" s="36"/>
      <c r="B124" s="39"/>
      <c r="C124" s="36"/>
      <c r="D124" s="38"/>
      <c r="E124" s="25"/>
      <c r="F124" s="24"/>
    </row>
    <row r="125" spans="1:6" ht="22.5">
      <c r="A125" s="35" t="s">
        <v>102</v>
      </c>
      <c r="B125" s="37">
        <f>+B50</f>
        <v>4068080</v>
      </c>
      <c r="C125" s="36"/>
      <c r="D125" s="40">
        <f>+B125/B126</f>
        <v>4.2242242242242245</v>
      </c>
      <c r="E125" s="25"/>
      <c r="F125" s="24"/>
    </row>
    <row r="126" spans="1:6" ht="18">
      <c r="A126" s="36"/>
      <c r="B126" s="39">
        <f>+B58</f>
        <v>963036</v>
      </c>
      <c r="C126" s="36"/>
      <c r="D126" s="38"/>
      <c r="E126" s="25"/>
      <c r="F126" s="24"/>
    </row>
    <row r="127" spans="1:6" ht="18">
      <c r="A127" s="36"/>
      <c r="B127" s="39"/>
      <c r="C127" s="36"/>
      <c r="D127" s="38"/>
      <c r="E127" s="25"/>
      <c r="F127" s="24"/>
    </row>
    <row r="128" spans="1:6" ht="18">
      <c r="A128" s="36"/>
      <c r="B128" s="39"/>
      <c r="C128" s="36"/>
      <c r="D128" s="38"/>
      <c r="E128" s="25"/>
      <c r="F128" s="24"/>
    </row>
    <row r="129" spans="1:6" ht="18">
      <c r="A129" s="36"/>
      <c r="B129" s="39"/>
      <c r="C129" s="36"/>
      <c r="D129" s="38"/>
      <c r="E129" s="25"/>
      <c r="F129" s="24"/>
    </row>
    <row r="130" spans="1:6" ht="18">
      <c r="A130" s="36" t="s">
        <v>139</v>
      </c>
      <c r="B130" s="39"/>
      <c r="C130" s="36"/>
      <c r="D130" s="38"/>
      <c r="E130" s="25"/>
      <c r="F130" s="24"/>
    </row>
    <row r="131" spans="1:6" ht="18">
      <c r="A131" s="36" t="s">
        <v>140</v>
      </c>
      <c r="B131" s="39"/>
      <c r="C131" s="36"/>
      <c r="D131" s="38"/>
      <c r="E131" s="25"/>
      <c r="F131" s="24"/>
    </row>
    <row r="132" spans="1:6" ht="18">
      <c r="A132" s="36" t="s">
        <v>141</v>
      </c>
      <c r="B132" s="39"/>
      <c r="C132" s="36"/>
      <c r="D132" s="38"/>
      <c r="E132" s="25"/>
      <c r="F132" s="24"/>
    </row>
    <row r="133" spans="1:6" ht="18">
      <c r="A133" s="36" t="s">
        <v>78</v>
      </c>
      <c r="B133" s="39"/>
      <c r="C133" s="36"/>
      <c r="D133" s="38"/>
      <c r="E133" s="25"/>
      <c r="F133" s="24"/>
    </row>
    <row r="134" spans="1:6" ht="18">
      <c r="A134" s="36" t="s">
        <v>146</v>
      </c>
      <c r="B134" s="39"/>
      <c r="C134" s="36"/>
      <c r="D134" s="38"/>
      <c r="E134" s="25"/>
      <c r="F134" s="24"/>
    </row>
    <row r="135" spans="1:6" ht="18">
      <c r="A135" s="36" t="s">
        <v>144</v>
      </c>
      <c r="B135" s="29"/>
      <c r="C135" s="22"/>
      <c r="D135" s="28"/>
      <c r="E135" s="23"/>
      <c r="F135" s="24"/>
    </row>
    <row r="136" spans="1:6" ht="18">
      <c r="A136" s="36" t="s">
        <v>145</v>
      </c>
      <c r="B136" s="29"/>
      <c r="C136" s="22"/>
      <c r="D136" s="28"/>
      <c r="E136" s="23"/>
      <c r="F136" s="24"/>
    </row>
    <row r="137" spans="1:6" ht="22.5">
      <c r="A137" s="32" t="s">
        <v>55</v>
      </c>
      <c r="B137" s="22"/>
      <c r="C137" s="22"/>
      <c r="D137" s="28"/>
      <c r="E137" s="23"/>
      <c r="F137" s="24"/>
    </row>
    <row r="138" spans="1:6" ht="19.5">
      <c r="A138" s="42" t="s">
        <v>103</v>
      </c>
      <c r="B138" s="22"/>
      <c r="C138" s="22"/>
      <c r="D138" s="28"/>
      <c r="E138" s="23"/>
      <c r="F138" s="24"/>
    </row>
    <row r="139" spans="1:6" ht="22.5">
      <c r="A139" s="35" t="s">
        <v>105</v>
      </c>
      <c r="B139" s="26">
        <f>+B72</f>
        <v>3070000</v>
      </c>
      <c r="C139" s="36"/>
      <c r="D139" s="38">
        <f>+B139/B140</f>
        <v>5.116666666666666</v>
      </c>
      <c r="E139" s="23"/>
      <c r="F139" s="24"/>
    </row>
    <row r="140" spans="1:6" ht="19.5">
      <c r="A140" s="42" t="s">
        <v>106</v>
      </c>
      <c r="B140" s="39">
        <f>(+B11+D11)/2</f>
        <v>600000</v>
      </c>
      <c r="C140" s="36"/>
      <c r="D140" s="38"/>
      <c r="E140" s="23"/>
      <c r="F140" s="24"/>
    </row>
    <row r="141" spans="1:6" ht="19.5">
      <c r="A141" s="42"/>
      <c r="B141" s="22"/>
      <c r="C141" s="22"/>
      <c r="D141" s="28"/>
      <c r="E141" s="23"/>
      <c r="F141" s="24"/>
    </row>
    <row r="142" spans="1:6" ht="19.5">
      <c r="A142" s="42" t="s">
        <v>107</v>
      </c>
      <c r="B142" s="22"/>
      <c r="C142" s="22"/>
      <c r="D142" s="28"/>
      <c r="E142" s="23"/>
      <c r="F142" s="24"/>
    </row>
    <row r="143" spans="1:6" ht="22.5">
      <c r="A143" s="35" t="s">
        <v>108</v>
      </c>
      <c r="B143" s="37">
        <f>+B140</f>
        <v>600000</v>
      </c>
      <c r="C143" s="36" t="s">
        <v>109</v>
      </c>
      <c r="D143" s="38">
        <f>(+B143/B144)*365</f>
        <v>71.33550488599349</v>
      </c>
      <c r="E143" s="44" t="s">
        <v>110</v>
      </c>
      <c r="F143" s="24"/>
    </row>
    <row r="144" spans="1:6" ht="19.5">
      <c r="A144" s="42"/>
      <c r="B144" s="27">
        <f>+B139</f>
        <v>3070000</v>
      </c>
      <c r="C144" s="36"/>
      <c r="D144" s="38"/>
      <c r="E144" s="44" t="s">
        <v>111</v>
      </c>
      <c r="F144" s="24"/>
    </row>
    <row r="145" spans="1:6" ht="19.5">
      <c r="A145" s="42" t="s">
        <v>107</v>
      </c>
      <c r="B145" s="27"/>
      <c r="C145" s="36"/>
      <c r="D145" s="38"/>
      <c r="E145" s="44"/>
      <c r="F145" s="24"/>
    </row>
    <row r="146" spans="1:6" ht="22.5">
      <c r="A146" s="35" t="s">
        <v>112</v>
      </c>
      <c r="B146" s="37">
        <f>+B140</f>
        <v>600000</v>
      </c>
      <c r="C146" s="22"/>
      <c r="D146" s="38">
        <f>+B146/B147</f>
        <v>71.33550488599349</v>
      </c>
      <c r="E146" s="44" t="s">
        <v>113</v>
      </c>
      <c r="F146" s="24"/>
    </row>
    <row r="147" spans="1:6" ht="19.5">
      <c r="A147" s="42"/>
      <c r="B147" s="45">
        <f>+B72/365</f>
        <v>8410.95890410959</v>
      </c>
      <c r="C147" s="22"/>
      <c r="D147" s="28"/>
      <c r="E147" s="44" t="s">
        <v>114</v>
      </c>
      <c r="F147" s="24"/>
    </row>
    <row r="148" spans="1:6" ht="19.5">
      <c r="A148" s="42"/>
      <c r="B148" s="22"/>
      <c r="C148" s="22"/>
      <c r="D148" s="28"/>
      <c r="E148" s="44" t="s">
        <v>115</v>
      </c>
      <c r="F148" s="24"/>
    </row>
    <row r="149" spans="1:6" ht="19.5">
      <c r="A149" s="42"/>
      <c r="B149" s="22"/>
      <c r="C149" s="22"/>
      <c r="D149" s="28"/>
      <c r="E149" s="23"/>
      <c r="F149" s="24"/>
    </row>
    <row r="150" spans="1:6" ht="19.5">
      <c r="A150" s="42"/>
      <c r="B150" s="22"/>
      <c r="C150" s="22"/>
      <c r="D150" s="28"/>
      <c r="E150" s="23"/>
      <c r="F150" s="24"/>
    </row>
    <row r="151" spans="1:6" ht="19.5">
      <c r="A151" s="42"/>
      <c r="B151" s="22"/>
      <c r="C151" s="22"/>
      <c r="D151" s="28"/>
      <c r="E151" s="44" t="s">
        <v>116</v>
      </c>
      <c r="F151" s="24"/>
    </row>
    <row r="152" spans="1:6" ht="22.5">
      <c r="A152" s="35" t="s">
        <v>104</v>
      </c>
      <c r="B152" s="26">
        <f>+B73</f>
        <v>2000000</v>
      </c>
      <c r="C152" s="27">
        <f>+B153</f>
        <v>600000</v>
      </c>
      <c r="D152" s="38">
        <f>+B152/B153</f>
        <v>3.3333333333333335</v>
      </c>
      <c r="E152" s="44" t="s">
        <v>118</v>
      </c>
      <c r="F152" s="24">
        <f>+C152/C153*365</f>
        <v>109.5</v>
      </c>
    </row>
    <row r="153" spans="1:6" ht="18">
      <c r="A153" s="36"/>
      <c r="B153" s="27">
        <f>+(D11+B11)/2</f>
        <v>600000</v>
      </c>
      <c r="C153" s="27">
        <f>+B152</f>
        <v>2000000</v>
      </c>
      <c r="D153" s="38"/>
      <c r="E153" s="44" t="s">
        <v>117</v>
      </c>
      <c r="F153" s="24"/>
    </row>
    <row r="154" spans="1:6" ht="18">
      <c r="A154" s="36" t="s">
        <v>79</v>
      </c>
      <c r="B154" s="27"/>
      <c r="C154" s="36"/>
      <c r="D154" s="38"/>
      <c r="E154" s="25"/>
      <c r="F154" s="24"/>
    </row>
    <row r="155" spans="1:6" ht="18">
      <c r="A155" s="36" t="s">
        <v>87</v>
      </c>
      <c r="B155" s="27"/>
      <c r="C155" s="36"/>
      <c r="D155" s="38"/>
      <c r="E155" s="25"/>
      <c r="F155" s="24"/>
    </row>
    <row r="156" spans="1:6" ht="18">
      <c r="A156" s="36"/>
      <c r="B156" s="27"/>
      <c r="C156" s="36"/>
      <c r="D156" s="38"/>
      <c r="E156" s="25"/>
      <c r="F156" s="24"/>
    </row>
    <row r="157" spans="1:6" ht="18">
      <c r="A157" s="36"/>
      <c r="B157" s="26">
        <f>+B153</f>
        <v>600000</v>
      </c>
      <c r="C157" s="36">
        <v>365</v>
      </c>
      <c r="D157" s="38">
        <f>+(+D356/B158)*C157</f>
        <v>0</v>
      </c>
      <c r="E157" s="25"/>
      <c r="F157" s="24"/>
    </row>
    <row r="158" spans="1:6" ht="18">
      <c r="A158" s="36"/>
      <c r="B158" s="27">
        <f>+B152</f>
        <v>2000000</v>
      </c>
      <c r="C158" s="36"/>
      <c r="D158" s="38"/>
      <c r="E158" s="25"/>
      <c r="F158" s="24"/>
    </row>
    <row r="159" spans="1:6" ht="18">
      <c r="A159" s="36"/>
      <c r="B159" s="27"/>
      <c r="C159" s="36"/>
      <c r="D159" s="38"/>
      <c r="E159" s="25"/>
      <c r="F159" s="24"/>
    </row>
    <row r="160" spans="1:6" ht="18">
      <c r="A160" s="36"/>
      <c r="B160" s="27"/>
      <c r="C160" s="36"/>
      <c r="D160" s="38"/>
      <c r="E160" s="25"/>
      <c r="F160" s="24"/>
    </row>
    <row r="161" spans="1:6" ht="22.5">
      <c r="A161" s="35" t="s">
        <v>56</v>
      </c>
      <c r="B161" s="27"/>
      <c r="C161" s="36"/>
      <c r="D161" s="38"/>
      <c r="E161" s="25"/>
      <c r="F161" s="24"/>
    </row>
    <row r="162" spans="1:6" ht="18">
      <c r="A162" s="36" t="s">
        <v>57</v>
      </c>
      <c r="B162" s="26">
        <f>(+D9+B9)/2</f>
        <v>1605000</v>
      </c>
      <c r="C162" s="36"/>
      <c r="D162" s="38">
        <f>+B162/B163</f>
        <v>190.82247557003257</v>
      </c>
      <c r="E162" s="44" t="s">
        <v>119</v>
      </c>
      <c r="F162" s="24"/>
    </row>
    <row r="163" spans="1:6" ht="18">
      <c r="A163" s="36"/>
      <c r="B163" s="27">
        <f>+B72/365</f>
        <v>8410.95890410959</v>
      </c>
      <c r="C163" s="36"/>
      <c r="D163" s="38"/>
      <c r="E163" s="44" t="s">
        <v>120</v>
      </c>
      <c r="F163" s="24"/>
    </row>
    <row r="164" spans="1:6" ht="19.5">
      <c r="A164" s="42" t="s">
        <v>107</v>
      </c>
      <c r="B164" s="27"/>
      <c r="C164" s="36"/>
      <c r="D164" s="38"/>
      <c r="E164" s="25"/>
      <c r="F164" s="24"/>
    </row>
    <row r="165" spans="1:6" ht="18">
      <c r="A165" s="36" t="s">
        <v>121</v>
      </c>
      <c r="B165" s="27">
        <f>+B162</f>
        <v>1605000</v>
      </c>
      <c r="C165" s="36" t="s">
        <v>109</v>
      </c>
      <c r="D165" s="38">
        <f>(+B165/B166)*365</f>
        <v>190.82247557003257</v>
      </c>
      <c r="E165" s="25"/>
      <c r="F165" s="24"/>
    </row>
    <row r="166" spans="1:6" ht="18">
      <c r="A166" s="36"/>
      <c r="B166" s="27">
        <f>+B72</f>
        <v>3070000</v>
      </c>
      <c r="C166" s="36"/>
      <c r="D166" s="38"/>
      <c r="E166" s="25"/>
      <c r="F166" s="24"/>
    </row>
    <row r="167" spans="1:6" ht="18">
      <c r="A167" s="36"/>
      <c r="B167" s="27"/>
      <c r="C167" s="36"/>
      <c r="D167" s="38"/>
      <c r="E167" s="25"/>
      <c r="F167" s="24"/>
    </row>
    <row r="168" spans="1:6" ht="18">
      <c r="A168" s="36" t="s">
        <v>172</v>
      </c>
      <c r="B168" s="128">
        <f>((+B38+D38)/2)/B73</f>
        <v>0.916</v>
      </c>
      <c r="C168" s="36"/>
      <c r="D168" s="38"/>
      <c r="E168" s="25"/>
      <c r="F168" s="24"/>
    </row>
    <row r="169" spans="1:6" ht="18">
      <c r="A169" s="36" t="s">
        <v>88</v>
      </c>
      <c r="B169" s="27"/>
      <c r="C169" s="36"/>
      <c r="D169" s="38"/>
      <c r="E169" s="25"/>
      <c r="F169" s="24"/>
    </row>
    <row r="170" spans="1:6" ht="18">
      <c r="A170" s="36" t="s">
        <v>89</v>
      </c>
      <c r="B170" s="27"/>
      <c r="C170" s="36"/>
      <c r="D170" s="38"/>
      <c r="E170" s="25"/>
      <c r="F170" s="24"/>
    </row>
    <row r="171" spans="1:6" ht="18">
      <c r="A171" s="36" t="s">
        <v>80</v>
      </c>
      <c r="B171" s="27"/>
      <c r="C171" s="36"/>
      <c r="D171" s="38"/>
      <c r="E171" s="25"/>
      <c r="F171" s="24"/>
    </row>
    <row r="172" spans="1:6" ht="18">
      <c r="A172" s="36"/>
      <c r="B172" s="27"/>
      <c r="C172" s="36"/>
      <c r="D172" s="38"/>
      <c r="E172" s="25"/>
      <c r="F172" s="24"/>
    </row>
    <row r="173" spans="1:6" ht="22.5">
      <c r="A173" s="35" t="s">
        <v>58</v>
      </c>
      <c r="B173" s="27"/>
      <c r="C173" s="36"/>
      <c r="D173" s="38"/>
      <c r="E173" s="25"/>
      <c r="F173" s="24"/>
    </row>
    <row r="174" spans="1:6" ht="22.5">
      <c r="A174" s="4" t="s">
        <v>59</v>
      </c>
      <c r="B174" s="26">
        <f>+B72</f>
        <v>3070000</v>
      </c>
      <c r="C174" s="36"/>
      <c r="D174" s="38">
        <f>+B174/B175</f>
        <v>3.694344163658243</v>
      </c>
      <c r="E174" s="44" t="s">
        <v>122</v>
      </c>
      <c r="F174" s="24"/>
    </row>
    <row r="175" spans="1:6" ht="18">
      <c r="A175" s="36"/>
      <c r="B175" s="27">
        <f>+B24</f>
        <v>831000</v>
      </c>
      <c r="C175" s="36"/>
      <c r="D175" s="38"/>
      <c r="E175" s="44" t="s">
        <v>123</v>
      </c>
      <c r="F175" s="24"/>
    </row>
    <row r="176" spans="2:6" ht="18">
      <c r="B176" s="27"/>
      <c r="C176" s="36"/>
      <c r="D176" s="38"/>
      <c r="E176" s="44" t="s">
        <v>124</v>
      </c>
      <c r="F176" s="24"/>
    </row>
    <row r="177" spans="1:6" ht="18">
      <c r="A177" s="43" t="s">
        <v>126</v>
      </c>
      <c r="B177" s="27"/>
      <c r="C177" s="36"/>
      <c r="D177" s="38"/>
      <c r="E177" s="44"/>
      <c r="F177" s="24"/>
    </row>
    <row r="178" spans="1:6" ht="18">
      <c r="A178" s="43" t="s">
        <v>125</v>
      </c>
      <c r="B178" s="27"/>
      <c r="C178" s="36"/>
      <c r="D178" s="38"/>
      <c r="E178" s="44"/>
      <c r="F178" s="24"/>
    </row>
    <row r="179" spans="1:6" ht="22.5">
      <c r="A179" s="35" t="s">
        <v>60</v>
      </c>
      <c r="B179" s="27"/>
      <c r="C179" s="36"/>
      <c r="D179" s="38"/>
      <c r="E179" s="44" t="s">
        <v>128</v>
      </c>
      <c r="F179" s="24"/>
    </row>
    <row r="180" spans="1:6" ht="18">
      <c r="A180" s="36" t="s">
        <v>127</v>
      </c>
      <c r="B180" s="26">
        <f>+B72</f>
        <v>3070000</v>
      </c>
      <c r="C180" s="36"/>
      <c r="D180" s="38">
        <f>+B180/B181</f>
        <v>0.61020258725897</v>
      </c>
      <c r="E180" s="44" t="s">
        <v>129</v>
      </c>
      <c r="F180" s="24"/>
    </row>
    <row r="181" spans="1:6" ht="18">
      <c r="A181" s="36" t="s">
        <v>66</v>
      </c>
      <c r="B181" s="27">
        <f>+B34</f>
        <v>5031116</v>
      </c>
      <c r="C181" s="36"/>
      <c r="D181" s="38"/>
      <c r="E181" s="44" t="s">
        <v>130</v>
      </c>
      <c r="F181" s="24"/>
    </row>
    <row r="182" spans="1:6" ht="18">
      <c r="A182" s="36"/>
      <c r="B182" s="27"/>
      <c r="C182" s="36"/>
      <c r="D182" s="38"/>
      <c r="E182" s="44" t="s">
        <v>131</v>
      </c>
      <c r="F182" s="24"/>
    </row>
    <row r="183" spans="1:6" ht="18">
      <c r="A183" s="36" t="s">
        <v>147</v>
      </c>
      <c r="B183" s="27"/>
      <c r="C183" s="36"/>
      <c r="D183" s="38"/>
      <c r="E183" s="25"/>
      <c r="F183" s="24"/>
    </row>
    <row r="184" spans="1:6" ht="18">
      <c r="A184" s="36" t="s">
        <v>81</v>
      </c>
      <c r="B184" s="27"/>
      <c r="C184" s="36"/>
      <c r="D184" s="38"/>
      <c r="E184" s="25"/>
      <c r="F184" s="24"/>
    </row>
    <row r="185" spans="1:6" ht="18">
      <c r="A185" s="36" t="s">
        <v>82</v>
      </c>
      <c r="B185" s="27"/>
      <c r="C185" s="36"/>
      <c r="D185" s="38"/>
      <c r="E185" s="25"/>
      <c r="F185" s="24"/>
    </row>
    <row r="186" spans="1:6" ht="18">
      <c r="A186" s="36" t="s">
        <v>83</v>
      </c>
      <c r="B186" s="27"/>
      <c r="C186" s="36"/>
      <c r="D186" s="38"/>
      <c r="E186" s="25"/>
      <c r="F186" s="24"/>
    </row>
    <row r="187" spans="1:6" ht="18">
      <c r="A187" s="36"/>
      <c r="B187" s="27"/>
      <c r="C187" s="36"/>
      <c r="D187" s="38"/>
      <c r="E187" s="25"/>
      <c r="F187" s="24"/>
    </row>
    <row r="188" spans="2:6" ht="18">
      <c r="B188" s="27"/>
      <c r="C188" s="36"/>
      <c r="D188" s="38"/>
      <c r="E188" s="25"/>
      <c r="F188" s="24"/>
    </row>
    <row r="189" spans="1:6" ht="22.5">
      <c r="A189" s="32" t="s">
        <v>61</v>
      </c>
      <c r="B189" s="30"/>
      <c r="C189" s="22"/>
      <c r="D189" s="28"/>
      <c r="E189" s="23"/>
      <c r="F189" s="23"/>
    </row>
    <row r="190" spans="1:6" ht="18">
      <c r="A190" s="22"/>
      <c r="B190" s="30"/>
      <c r="C190" s="22"/>
      <c r="D190" s="28"/>
      <c r="E190" s="23"/>
      <c r="F190" s="23"/>
    </row>
    <row r="191" spans="1:6" ht="22.5">
      <c r="A191" s="51" t="s">
        <v>62</v>
      </c>
      <c r="B191" s="27"/>
      <c r="C191" s="36"/>
      <c r="D191" s="38"/>
      <c r="E191" s="25"/>
      <c r="F191" s="23"/>
    </row>
    <row r="192" spans="1:6" ht="18">
      <c r="A192" s="36" t="s">
        <v>63</v>
      </c>
      <c r="B192" s="26">
        <f>+B90</f>
        <v>36920</v>
      </c>
      <c r="C192" s="36"/>
      <c r="D192" s="40">
        <f>+B192/B193</f>
        <v>0.03833709227900099</v>
      </c>
      <c r="E192" s="25"/>
      <c r="F192" s="23"/>
    </row>
    <row r="193" spans="1:6" ht="18">
      <c r="A193" s="36"/>
      <c r="B193" s="27">
        <f>+B58</f>
        <v>963036</v>
      </c>
      <c r="C193" s="36"/>
      <c r="D193" s="38"/>
      <c r="E193" s="25"/>
      <c r="F193" s="23"/>
    </row>
    <row r="194" spans="1:6" ht="22.5">
      <c r="A194" s="51" t="s">
        <v>64</v>
      </c>
      <c r="B194" s="27"/>
      <c r="C194" s="36"/>
      <c r="D194" s="38"/>
      <c r="E194" s="25"/>
      <c r="F194" s="23"/>
    </row>
    <row r="195" spans="1:6" ht="18">
      <c r="A195" s="36" t="s">
        <v>65</v>
      </c>
      <c r="B195" s="26">
        <f>+B90</f>
        <v>36920</v>
      </c>
      <c r="C195" s="36"/>
      <c r="D195" s="40">
        <f>+B195/B196</f>
        <v>0.007338332091726766</v>
      </c>
      <c r="E195" s="25"/>
      <c r="F195" s="23"/>
    </row>
    <row r="196" spans="1:6" ht="18">
      <c r="A196" s="36"/>
      <c r="B196" s="27">
        <f>+B34</f>
        <v>5031116</v>
      </c>
      <c r="C196" s="36"/>
      <c r="D196" s="38"/>
      <c r="E196" s="25"/>
      <c r="F196" s="23"/>
    </row>
    <row r="197" spans="1:6" ht="18">
      <c r="A197" s="36"/>
      <c r="B197" s="27"/>
      <c r="C197" s="36"/>
      <c r="D197" s="38"/>
      <c r="E197" s="25"/>
      <c r="F197" s="23"/>
    </row>
    <row r="198" spans="1:6" ht="22.5">
      <c r="A198" s="51" t="s">
        <v>67</v>
      </c>
      <c r="B198" s="27"/>
      <c r="C198" s="36"/>
      <c r="D198" s="38"/>
      <c r="E198" s="25"/>
      <c r="F198" s="23"/>
    </row>
    <row r="199" spans="1:6" ht="18">
      <c r="A199" s="36" t="s">
        <v>68</v>
      </c>
      <c r="B199" s="26">
        <f>+B82</f>
        <v>610000</v>
      </c>
      <c r="C199" s="36"/>
      <c r="D199" s="38">
        <f>+B199/B200</f>
        <v>1.22</v>
      </c>
      <c r="E199" s="25">
        <f>+B200/B199</f>
        <v>0.819672131147541</v>
      </c>
      <c r="F199" s="23"/>
    </row>
    <row r="200" spans="1:6" ht="18">
      <c r="A200" s="36" t="s">
        <v>94</v>
      </c>
      <c r="B200" s="27">
        <f>+B84</f>
        <v>500000</v>
      </c>
      <c r="C200" s="36"/>
      <c r="D200" s="38"/>
      <c r="E200" s="25"/>
      <c r="F200" s="23"/>
    </row>
    <row r="201" spans="1:6" ht="22.5">
      <c r="A201" s="51" t="s">
        <v>70</v>
      </c>
      <c r="B201" s="27"/>
      <c r="C201" s="36"/>
      <c r="D201" s="38"/>
      <c r="E201" s="25"/>
      <c r="F201" s="23"/>
    </row>
    <row r="202" spans="1:6" ht="18">
      <c r="A202" s="36" t="s">
        <v>71</v>
      </c>
      <c r="B202" s="26">
        <f>+B90</f>
        <v>36920</v>
      </c>
      <c r="C202" s="36"/>
      <c r="D202" s="40">
        <f>+B202/B203</f>
        <v>0.012026058631921825</v>
      </c>
      <c r="E202" s="25"/>
      <c r="F202" s="23"/>
    </row>
    <row r="203" spans="1:6" ht="18">
      <c r="A203" s="36"/>
      <c r="B203" s="27">
        <f>+B72</f>
        <v>3070000</v>
      </c>
      <c r="C203" s="36"/>
      <c r="D203" s="38"/>
      <c r="E203" s="25"/>
      <c r="F203" s="23"/>
    </row>
    <row r="204" spans="1:6" ht="18">
      <c r="A204" s="36"/>
      <c r="B204" s="27"/>
      <c r="C204" s="36"/>
      <c r="D204" s="38"/>
      <c r="E204" s="25"/>
      <c r="F204" s="23"/>
    </row>
    <row r="205" spans="1:6" ht="18">
      <c r="A205" s="36" t="s">
        <v>84</v>
      </c>
      <c r="B205" s="27"/>
      <c r="C205" s="36"/>
      <c r="D205" s="38"/>
      <c r="E205" s="25"/>
      <c r="F205" s="23"/>
    </row>
    <row r="206" spans="1:6" ht="18">
      <c r="A206" s="36" t="s">
        <v>148</v>
      </c>
      <c r="B206" s="27"/>
      <c r="C206" s="36"/>
      <c r="D206" s="38"/>
      <c r="E206" s="25"/>
      <c r="F206" s="23"/>
    </row>
    <row r="207" spans="1:6" ht="18">
      <c r="A207" s="36" t="s">
        <v>149</v>
      </c>
      <c r="B207" s="27"/>
      <c r="C207" s="36"/>
      <c r="D207" s="38"/>
      <c r="E207" s="25"/>
      <c r="F207" s="23"/>
    </row>
    <row r="208" spans="1:6" ht="18">
      <c r="A208" s="36" t="s">
        <v>85</v>
      </c>
      <c r="B208" s="36"/>
      <c r="C208" s="36"/>
      <c r="D208" s="38"/>
      <c r="E208" s="25"/>
      <c r="F208" s="23"/>
    </row>
    <row r="209" spans="1:6" ht="15">
      <c r="A209" s="19"/>
      <c r="B209" s="19"/>
      <c r="C209" s="19"/>
      <c r="D209" s="21"/>
      <c r="E209" s="20"/>
      <c r="F209" s="20"/>
    </row>
    <row r="210" spans="1:6" ht="15">
      <c r="A210" s="19"/>
      <c r="B210" s="19"/>
      <c r="C210" s="19"/>
      <c r="D210" s="21"/>
      <c r="E210" s="20"/>
      <c r="F210" s="20"/>
    </row>
    <row r="211" spans="1:6" ht="19.5">
      <c r="A211" s="31" t="s">
        <v>72</v>
      </c>
      <c r="B211" s="19"/>
      <c r="C211" s="19"/>
      <c r="D211" s="21"/>
      <c r="E211" s="20"/>
      <c r="F211" s="20"/>
    </row>
    <row r="212" spans="1:6" ht="15">
      <c r="A212" s="8" t="s">
        <v>73</v>
      </c>
      <c r="B212" s="16">
        <f>+B73</f>
        <v>2000000</v>
      </c>
      <c r="C212" s="8"/>
      <c r="D212" s="13">
        <f>+B212/B213</f>
        <v>0.6514657980456026</v>
      </c>
      <c r="E212" s="20"/>
      <c r="F212" s="20"/>
    </row>
    <row r="213" spans="1:6" ht="15">
      <c r="A213" s="8"/>
      <c r="B213" s="15">
        <f>+B72</f>
        <v>3070000</v>
      </c>
      <c r="C213" s="8"/>
      <c r="D213" s="8"/>
      <c r="E213" s="20"/>
      <c r="F213" s="20"/>
    </row>
    <row r="214" spans="1:6" ht="15">
      <c r="A214" s="8"/>
      <c r="B214" s="8"/>
      <c r="C214" s="8"/>
      <c r="D214" s="8"/>
      <c r="E214" s="20"/>
      <c r="F214" s="20"/>
    </row>
    <row r="215" spans="1:6" ht="15">
      <c r="A215" s="8" t="s">
        <v>74</v>
      </c>
      <c r="B215" s="16">
        <f>+B76</f>
        <v>160000</v>
      </c>
      <c r="C215" s="8"/>
      <c r="D215" s="13">
        <f>+B215/B216</f>
        <v>0.05211726384364821</v>
      </c>
      <c r="E215" s="20"/>
      <c r="F215" s="20"/>
    </row>
    <row r="216" spans="1:6" ht="15">
      <c r="A216" s="8"/>
      <c r="B216" s="15">
        <f>+B72</f>
        <v>3070000</v>
      </c>
      <c r="C216" s="8"/>
      <c r="D216" s="8"/>
      <c r="E216" s="20"/>
      <c r="F216" s="20"/>
    </row>
    <row r="217" spans="1:6" ht="15">
      <c r="A217" s="8"/>
      <c r="B217" s="8"/>
      <c r="C217" s="8"/>
      <c r="D217" s="8"/>
      <c r="E217" s="20"/>
      <c r="F217" s="20"/>
    </row>
    <row r="218" spans="1:6" ht="15">
      <c r="A218" s="8" t="s">
        <v>75</v>
      </c>
      <c r="B218" s="16">
        <f>+B78</f>
        <v>300000</v>
      </c>
      <c r="C218" s="8"/>
      <c r="D218" s="13">
        <f>+B218/B219</f>
        <v>0.09771986970684039</v>
      </c>
      <c r="E218" s="20"/>
      <c r="F218" s="20"/>
    </row>
    <row r="219" spans="1:6" ht="15">
      <c r="A219" s="8"/>
      <c r="B219" s="12">
        <f>+B72</f>
        <v>3070000</v>
      </c>
      <c r="C219" s="8"/>
      <c r="D219" s="8"/>
      <c r="E219" s="20"/>
      <c r="F219" s="20"/>
    </row>
    <row r="220" spans="1:6" ht="15">
      <c r="A220" s="8"/>
      <c r="B220" s="8"/>
      <c r="C220" s="8"/>
      <c r="D220" s="8"/>
      <c r="E220" s="20"/>
      <c r="F220" s="20"/>
    </row>
    <row r="221" spans="1:6" ht="15">
      <c r="A221" s="8" t="s">
        <v>76</v>
      </c>
      <c r="B221" s="16">
        <f>+B84</f>
        <v>500000</v>
      </c>
      <c r="C221" s="8"/>
      <c r="D221" s="13">
        <f>+B221/B222</f>
        <v>0.16286644951140064</v>
      </c>
      <c r="E221" s="20"/>
      <c r="F221" s="20">
        <f>0.8*84</f>
        <v>67.2</v>
      </c>
    </row>
    <row r="222" spans="1:6" ht="15">
      <c r="A222" s="8"/>
      <c r="B222" s="15">
        <f>+B72</f>
        <v>3070000</v>
      </c>
      <c r="C222" s="8"/>
      <c r="D222" s="8"/>
      <c r="E222" s="20"/>
      <c r="F222" s="20"/>
    </row>
    <row r="223" spans="1:4" ht="15">
      <c r="A223" s="5"/>
      <c r="B223" s="41"/>
      <c r="C223" s="41"/>
      <c r="D223" s="41"/>
    </row>
    <row r="224" spans="1:4" ht="15">
      <c r="A224" s="5"/>
      <c r="B224" s="41"/>
      <c r="C224" s="41"/>
      <c r="D224" s="41"/>
    </row>
    <row r="225" ht="15">
      <c r="A225" s="36" t="s">
        <v>150</v>
      </c>
    </row>
    <row r="226" ht="15">
      <c r="A226" s="36" t="s">
        <v>151</v>
      </c>
    </row>
    <row r="227" ht="15">
      <c r="A227" s="36" t="s">
        <v>152</v>
      </c>
    </row>
    <row r="228" ht="15">
      <c r="A228" s="36" t="s">
        <v>153</v>
      </c>
    </row>
    <row r="229" ht="15">
      <c r="A229" s="36" t="s">
        <v>154</v>
      </c>
    </row>
    <row r="230" ht="15">
      <c r="A230" s="36" t="s">
        <v>155</v>
      </c>
    </row>
    <row r="234" ht="22.5">
      <c r="A234" s="129" t="s">
        <v>173</v>
      </c>
    </row>
    <row r="236" spans="1:5" ht="15.75">
      <c r="A236" s="69"/>
      <c r="B236" s="98"/>
      <c r="C236" s="99" t="s">
        <v>159</v>
      </c>
      <c r="D236" s="99"/>
      <c r="E236" s="100"/>
    </row>
    <row r="237" spans="1:5" ht="15.75">
      <c r="A237" s="57"/>
      <c r="B237" s="101"/>
      <c r="C237" s="102" t="s">
        <v>168</v>
      </c>
      <c r="D237" s="103"/>
      <c r="E237" s="104"/>
    </row>
    <row r="238" spans="1:5" ht="15.75">
      <c r="A238" s="57"/>
      <c r="B238" s="105"/>
      <c r="C238" s="106"/>
      <c r="D238" s="106"/>
      <c r="E238" s="107"/>
    </row>
    <row r="239" spans="1:5" ht="15.75">
      <c r="A239" s="57"/>
      <c r="B239" s="108"/>
      <c r="C239" s="109"/>
      <c r="D239" s="109"/>
      <c r="E239" s="110"/>
    </row>
    <row r="240" spans="1:5" ht="15.75">
      <c r="A240" s="57"/>
      <c r="B240" s="97" t="s">
        <v>157</v>
      </c>
      <c r="C240" s="97" t="s">
        <v>165</v>
      </c>
      <c r="D240" s="97" t="s">
        <v>158</v>
      </c>
      <c r="E240" s="97" t="s">
        <v>165</v>
      </c>
    </row>
    <row r="241" spans="1:5" ht="15.75">
      <c r="A241" s="111" t="s">
        <v>1</v>
      </c>
      <c r="B241" s="82"/>
      <c r="C241" s="61"/>
      <c r="D241" s="82"/>
      <c r="E241" s="59"/>
    </row>
    <row r="242" spans="1:5" ht="15.75">
      <c r="A242" s="57" t="s">
        <v>2</v>
      </c>
      <c r="B242" s="83">
        <v>15116</v>
      </c>
      <c r="C242" s="62">
        <f aca="true" t="shared" si="3" ref="C242:C249">+B242/$B$34</f>
        <v>0.0030045023807839057</v>
      </c>
      <c r="D242" s="83">
        <f>5000+100000</f>
        <v>105000</v>
      </c>
      <c r="E242" s="63">
        <f>+D242/$D$34</f>
        <v>0.08459555269094425</v>
      </c>
    </row>
    <row r="243" spans="1:5" ht="15.75">
      <c r="A243" s="57" t="s">
        <v>161</v>
      </c>
      <c r="B243" s="83">
        <f>3000000+500000</f>
        <v>3500000</v>
      </c>
      <c r="C243" s="62">
        <f t="shared" si="3"/>
        <v>0.6956707020867736</v>
      </c>
      <c r="D243" s="83">
        <v>210000</v>
      </c>
      <c r="E243" s="63">
        <f aca="true" t="shared" si="4" ref="E243:E248">+D243/$D$34</f>
        <v>0.1691911053818885</v>
      </c>
    </row>
    <row r="244" spans="1:5" ht="15.75">
      <c r="A244" s="57" t="s">
        <v>4</v>
      </c>
      <c r="B244" s="83">
        <v>3000</v>
      </c>
      <c r="C244" s="62">
        <f t="shared" si="3"/>
        <v>0.0005962891732172345</v>
      </c>
      <c r="D244" s="83">
        <v>4000</v>
      </c>
      <c r="E244" s="63">
        <f t="shared" si="4"/>
        <v>0.003222687721559781</v>
      </c>
    </row>
    <row r="245" spans="1:5" ht="15.75">
      <c r="A245" s="57" t="s">
        <v>162</v>
      </c>
      <c r="B245" s="83">
        <f>1000000+4000000</f>
        <v>5000000</v>
      </c>
      <c r="C245" s="62">
        <f t="shared" si="3"/>
        <v>0.9938152886953908</v>
      </c>
      <c r="D245" s="83">
        <v>200000</v>
      </c>
      <c r="E245" s="63">
        <f t="shared" si="4"/>
        <v>0.16113438607798905</v>
      </c>
    </row>
    <row r="246" spans="1:5" ht="15.75">
      <c r="A246" s="57" t="s">
        <v>6</v>
      </c>
      <c r="B246" s="83">
        <v>10000</v>
      </c>
      <c r="C246" s="62">
        <f t="shared" si="3"/>
        <v>0.0019876305773907817</v>
      </c>
      <c r="D246" s="83">
        <v>25000</v>
      </c>
      <c r="E246" s="63">
        <f t="shared" si="4"/>
        <v>0.02014179825974863</v>
      </c>
    </row>
    <row r="247" spans="1:5" ht="15.75">
      <c r="A247" s="57" t="s">
        <v>7</v>
      </c>
      <c r="B247" s="83">
        <v>10000</v>
      </c>
      <c r="C247" s="62">
        <f t="shared" si="3"/>
        <v>0.0019876305773907817</v>
      </c>
      <c r="D247" s="83">
        <v>35000</v>
      </c>
      <c r="E247" s="63">
        <f t="shared" si="4"/>
        <v>0.028198517563648082</v>
      </c>
    </row>
    <row r="248" spans="1:5" ht="15.75">
      <c r="A248" s="57" t="s">
        <v>8</v>
      </c>
      <c r="B248" s="83">
        <v>5000</v>
      </c>
      <c r="C248" s="62">
        <f t="shared" si="3"/>
        <v>0.0009938152886953908</v>
      </c>
      <c r="D248" s="83">
        <v>8000</v>
      </c>
      <c r="E248" s="63">
        <f t="shared" si="4"/>
        <v>0.006445375443119562</v>
      </c>
    </row>
    <row r="249" spans="1:5" ht="15.75">
      <c r="A249" s="112" t="s">
        <v>9</v>
      </c>
      <c r="B249" s="87">
        <f>SUM(B242:B248)</f>
        <v>8543116</v>
      </c>
      <c r="C249" s="88">
        <f t="shared" si="3"/>
        <v>1.6980558587796426</v>
      </c>
      <c r="D249" s="87">
        <f>SUM(D242:D248)</f>
        <v>587000</v>
      </c>
      <c r="E249" s="89">
        <f>+D249/$D$34</f>
        <v>0.47292942313889785</v>
      </c>
    </row>
    <row r="250" spans="1:5" ht="15.75">
      <c r="A250" s="57"/>
      <c r="B250" s="83"/>
      <c r="C250" s="52"/>
      <c r="D250" s="83"/>
      <c r="E250" s="70"/>
    </row>
    <row r="251" spans="1:5" ht="15.75">
      <c r="A251" s="111" t="s">
        <v>10</v>
      </c>
      <c r="B251" s="83"/>
      <c r="C251" s="52"/>
      <c r="D251" s="83"/>
      <c r="E251" s="70"/>
    </row>
    <row r="252" spans="1:5" ht="15.75">
      <c r="A252" s="57" t="s">
        <v>11</v>
      </c>
      <c r="B252" s="83">
        <v>80000</v>
      </c>
      <c r="C252" s="62">
        <f>+B252/$B$24</f>
        <v>0.09626955475330927</v>
      </c>
      <c r="D252" s="83">
        <v>104200</v>
      </c>
      <c r="E252" s="63">
        <f aca="true" t="shared" si="5" ref="E252:E257">+D252/$D$24</f>
        <v>0.1568804576934658</v>
      </c>
    </row>
    <row r="253" spans="1:5" ht="15.75">
      <c r="A253" s="57" t="s">
        <v>12</v>
      </c>
      <c r="B253" s="83">
        <v>30000</v>
      </c>
      <c r="C253" s="62">
        <f>+B253/$B$24</f>
        <v>0.036101083032490974</v>
      </c>
      <c r="D253" s="83">
        <v>40000</v>
      </c>
      <c r="E253" s="63">
        <f t="shared" si="5"/>
        <v>0.06022282445046673</v>
      </c>
    </row>
    <row r="254" spans="1:5" ht="15.75">
      <c r="A254" s="57" t="s">
        <v>13</v>
      </c>
      <c r="B254" s="84">
        <v>350000</v>
      </c>
      <c r="C254" s="62">
        <f>+B254/$B$24</f>
        <v>0.42117930204572807</v>
      </c>
      <c r="D254" s="84">
        <v>300000</v>
      </c>
      <c r="E254" s="63">
        <f t="shared" si="5"/>
        <v>0.45167118337850043</v>
      </c>
    </row>
    <row r="255" spans="1:5" ht="15.75">
      <c r="A255" s="124" t="s">
        <v>14</v>
      </c>
      <c r="B255" s="125">
        <f>SUM(B252:B254)</f>
        <v>460000</v>
      </c>
      <c r="C255" s="126">
        <f>+B255/B258</f>
        <v>0.5535499398315282</v>
      </c>
      <c r="D255" s="125">
        <f>SUM(D252:D254)</f>
        <v>444200</v>
      </c>
      <c r="E255" s="127">
        <f t="shared" si="5"/>
        <v>0.668774465522433</v>
      </c>
    </row>
    <row r="256" spans="1:5" ht="15.75">
      <c r="A256" s="57" t="s">
        <v>15</v>
      </c>
      <c r="B256" s="83">
        <v>500000</v>
      </c>
      <c r="C256" s="62">
        <f>+B256/$B$24</f>
        <v>0.601684717208183</v>
      </c>
      <c r="D256" s="83">
        <v>300000</v>
      </c>
      <c r="E256" s="63">
        <f t="shared" si="5"/>
        <v>0.45167118337850043</v>
      </c>
    </row>
    <row r="257" spans="1:5" ht="15.75">
      <c r="A257" s="57" t="s">
        <v>16</v>
      </c>
      <c r="B257" s="79">
        <v>-129000</v>
      </c>
      <c r="C257" s="62">
        <f>+B257/$B$24</f>
        <v>-0.1552346570397112</v>
      </c>
      <c r="D257" s="79">
        <v>-80000</v>
      </c>
      <c r="E257" s="63">
        <f t="shared" si="5"/>
        <v>-0.12044564890093346</v>
      </c>
    </row>
    <row r="258" spans="1:5" ht="15.75">
      <c r="A258" s="112" t="s">
        <v>17</v>
      </c>
      <c r="B258" s="87">
        <f>+B255+B256+B257</f>
        <v>831000</v>
      </c>
      <c r="C258" s="88">
        <f>+B258/$B$34</f>
        <v>0.16517210098117396</v>
      </c>
      <c r="D258" s="87">
        <f>+D255+D256+D257</f>
        <v>664200</v>
      </c>
      <c r="E258" s="89">
        <f>+D258/$D$34</f>
        <v>0.5351272961650017</v>
      </c>
    </row>
    <row r="259" spans="1:5" ht="15.75">
      <c r="A259" s="57"/>
      <c r="B259" s="83"/>
      <c r="C259" s="52"/>
      <c r="D259" s="83"/>
      <c r="E259" s="70"/>
    </row>
    <row r="260" spans="1:5" ht="15.75">
      <c r="A260" s="111" t="s">
        <v>18</v>
      </c>
      <c r="B260" s="83"/>
      <c r="C260" s="52"/>
      <c r="D260" s="83"/>
      <c r="E260" s="70"/>
    </row>
    <row r="261" spans="1:5" ht="15.75">
      <c r="A261" s="57" t="s">
        <v>19</v>
      </c>
      <c r="B261" s="83">
        <v>80000</v>
      </c>
      <c r="C261" s="62">
        <f>+B261/$B$32</f>
        <v>0.5095541401273885</v>
      </c>
      <c r="D261" s="83">
        <v>50000</v>
      </c>
      <c r="E261" s="63">
        <f>+D261/$D$32</f>
        <v>0.5555555555555556</v>
      </c>
    </row>
    <row r="262" spans="1:5" ht="15.75">
      <c r="A262" s="57" t="s">
        <v>20</v>
      </c>
      <c r="B262" s="83">
        <v>10000</v>
      </c>
      <c r="C262" s="62">
        <f>+B262/$B$32</f>
        <v>0.06369426751592357</v>
      </c>
      <c r="D262" s="83">
        <v>10000</v>
      </c>
      <c r="E262" s="63">
        <f>+D262/$D$32</f>
        <v>0.1111111111111111</v>
      </c>
    </row>
    <row r="263" spans="1:5" ht="15.75">
      <c r="A263" s="57" t="s">
        <v>21</v>
      </c>
      <c r="B263" s="83">
        <f>+B261+B262</f>
        <v>90000</v>
      </c>
      <c r="C263" s="62">
        <f>+B263/$B$32</f>
        <v>0.5732484076433121</v>
      </c>
      <c r="D263" s="83">
        <f>+D261+D262</f>
        <v>60000</v>
      </c>
      <c r="E263" s="63">
        <f>+D263/$D$32</f>
        <v>0.6666666666666666</v>
      </c>
    </row>
    <row r="264" spans="1:5" ht="15.75">
      <c r="A264" s="57" t="s">
        <v>22</v>
      </c>
      <c r="B264" s="83">
        <v>90000</v>
      </c>
      <c r="C264" s="62">
        <f>+B264/$B$32</f>
        <v>0.5732484076433121</v>
      </c>
      <c r="D264" s="83">
        <v>40000</v>
      </c>
      <c r="E264" s="63">
        <f>+D264/$D$32</f>
        <v>0.4444444444444444</v>
      </c>
    </row>
    <row r="265" spans="1:5" ht="15.75">
      <c r="A265" s="57" t="s">
        <v>23</v>
      </c>
      <c r="B265" s="79">
        <v>-23000</v>
      </c>
      <c r="C265" s="62">
        <f>+B265/$B$32</f>
        <v>-0.1464968152866242</v>
      </c>
      <c r="D265" s="79">
        <v>-10000</v>
      </c>
      <c r="E265" s="63">
        <f>+D265/$D$32</f>
        <v>-0.1111111111111111</v>
      </c>
    </row>
    <row r="266" spans="1:5" ht="15.75">
      <c r="A266" s="112" t="s">
        <v>160</v>
      </c>
      <c r="B266" s="87">
        <f>+B263+B264+B265</f>
        <v>157000</v>
      </c>
      <c r="C266" s="88">
        <f>+B266/$B$34</f>
        <v>0.03120580006503527</v>
      </c>
      <c r="D266" s="87">
        <f>+D263+D264+D265</f>
        <v>90000</v>
      </c>
      <c r="E266" s="89">
        <f>+D266/$D$34</f>
        <v>0.07251047373509507</v>
      </c>
    </row>
    <row r="267" spans="1:5" ht="15.75">
      <c r="A267" s="105"/>
      <c r="B267" s="83"/>
      <c r="C267" s="52"/>
      <c r="D267" s="83"/>
      <c r="E267" s="70"/>
    </row>
    <row r="268" spans="1:5" ht="16.5" thickBot="1">
      <c r="A268" s="113" t="s">
        <v>25</v>
      </c>
      <c r="B268" s="90">
        <f>+B249+B258+B266</f>
        <v>9531116</v>
      </c>
      <c r="C268" s="91">
        <f>+C249+C258+C266</f>
        <v>1.8944337598258518</v>
      </c>
      <c r="D268" s="90">
        <f>+D249+D258+D266</f>
        <v>1341200</v>
      </c>
      <c r="E268" s="92">
        <f>+E249+E258+E266</f>
        <v>1.0805671930389944</v>
      </c>
    </row>
    <row r="269" spans="1:5" ht="16.5" thickTop="1">
      <c r="A269" s="57"/>
      <c r="B269" s="85"/>
      <c r="C269" s="61"/>
      <c r="D269" s="85"/>
      <c r="E269" s="59"/>
    </row>
    <row r="270" spans="1:5" ht="15.75">
      <c r="A270" s="71"/>
      <c r="B270" s="85"/>
      <c r="C270" s="61"/>
      <c r="D270" s="85"/>
      <c r="E270" s="59"/>
    </row>
    <row r="271" spans="1:5" ht="15.75">
      <c r="A271" s="111" t="s">
        <v>133</v>
      </c>
      <c r="B271" s="82"/>
      <c r="C271" s="61"/>
      <c r="D271" s="82"/>
      <c r="E271" s="59"/>
    </row>
    <row r="272" spans="1:5" ht="15.75">
      <c r="A272" s="57" t="s">
        <v>26</v>
      </c>
      <c r="B272" s="83">
        <f>3514000+4000000+535420</f>
        <v>8049420</v>
      </c>
      <c r="C272" s="62">
        <f>+B272/$B$42</f>
        <v>2.2880150536656356</v>
      </c>
      <c r="D272" s="83">
        <v>150000</v>
      </c>
      <c r="E272" s="63">
        <f>+D272/$D$42</f>
        <v>0.6292368615343311</v>
      </c>
    </row>
    <row r="273" spans="1:5" ht="15.75">
      <c r="A273" s="57" t="s">
        <v>27</v>
      </c>
      <c r="B273" s="83">
        <v>1000</v>
      </c>
      <c r="C273" s="62">
        <f>+B273/$B$42</f>
        <v>0.00028424595233763873</v>
      </c>
      <c r="D273" s="83">
        <v>10000</v>
      </c>
      <c r="E273" s="63">
        <f>+D273/$D$42</f>
        <v>0.041949124102288744</v>
      </c>
    </row>
    <row r="274" spans="1:5" ht="15.75">
      <c r="A274" s="57" t="s">
        <v>28</v>
      </c>
      <c r="B274" s="83">
        <v>2000</v>
      </c>
      <c r="C274" s="62">
        <f>+B274/$B$42</f>
        <v>0.0005684919046752775</v>
      </c>
      <c r="D274" s="83">
        <v>19500</v>
      </c>
      <c r="E274" s="63">
        <f>+D274/$D$42</f>
        <v>0.08180079199946305</v>
      </c>
    </row>
    <row r="275" spans="1:5" ht="15.75">
      <c r="A275" s="57" t="s">
        <v>29</v>
      </c>
      <c r="B275" s="83">
        <v>1080</v>
      </c>
      <c r="C275" s="62">
        <f>+B275/$B$42</f>
        <v>0.0003069856285246498</v>
      </c>
      <c r="D275" s="83">
        <v>58884</v>
      </c>
      <c r="E275" s="63"/>
    </row>
    <row r="276" spans="1:5" ht="15.75">
      <c r="A276" s="112" t="s">
        <v>30</v>
      </c>
      <c r="B276" s="87">
        <f>SUM(B272:B275)</f>
        <v>8053500</v>
      </c>
      <c r="C276" s="88">
        <f>+B276/B284</f>
        <v>0.9360725286220725</v>
      </c>
      <c r="D276" s="87">
        <f>SUM(D272:D275)</f>
        <v>238384</v>
      </c>
      <c r="E276" s="89">
        <f>+D276/D284</f>
        <v>0.5089499214319875</v>
      </c>
    </row>
    <row r="277" spans="1:5" ht="12.75">
      <c r="A277" s="72"/>
      <c r="B277" s="86"/>
      <c r="C277" s="73"/>
      <c r="D277" s="86"/>
      <c r="E277" s="74"/>
    </row>
    <row r="278" spans="1:5" ht="15.75">
      <c r="A278" s="57"/>
      <c r="B278" s="83"/>
      <c r="C278" s="52"/>
      <c r="D278" s="83"/>
      <c r="E278" s="70"/>
    </row>
    <row r="279" spans="1:5" ht="15.75">
      <c r="A279" s="111" t="s">
        <v>31</v>
      </c>
      <c r="B279" s="83"/>
      <c r="C279" s="52"/>
      <c r="D279" s="83"/>
      <c r="E279" s="70"/>
    </row>
    <row r="280" spans="1:5" ht="15.75">
      <c r="A280" s="57" t="s">
        <v>32</v>
      </c>
      <c r="B280" s="83">
        <v>6000</v>
      </c>
      <c r="C280" s="62">
        <f>+B280/B282</f>
        <v>0.01090909090909091</v>
      </c>
      <c r="D280" s="83">
        <v>50000</v>
      </c>
      <c r="E280" s="63">
        <f>+D280/D282</f>
        <v>0.21739130434782608</v>
      </c>
    </row>
    <row r="281" spans="1:5" ht="15.75">
      <c r="A281" s="57" t="s">
        <v>33</v>
      </c>
      <c r="B281" s="83">
        <v>544000</v>
      </c>
      <c r="C281" s="62">
        <f>+B281/B282</f>
        <v>0.9890909090909091</v>
      </c>
      <c r="D281" s="83">
        <v>180000</v>
      </c>
      <c r="E281" s="63">
        <f>+D281/D282</f>
        <v>0.782608695652174</v>
      </c>
    </row>
    <row r="282" spans="1:5" ht="15.75">
      <c r="A282" s="111" t="s">
        <v>90</v>
      </c>
      <c r="B282" s="87">
        <f>SUM(B280:B281)</f>
        <v>550000</v>
      </c>
      <c r="C282" s="88">
        <f>+B282/B284</f>
        <v>0.06392747137792759</v>
      </c>
      <c r="D282" s="87">
        <f>SUM(D280:D281)</f>
        <v>230000</v>
      </c>
      <c r="E282" s="89">
        <f>+D282/D284</f>
        <v>0.4910500785680126</v>
      </c>
    </row>
    <row r="283" spans="1:5" ht="15.75">
      <c r="A283" s="60"/>
      <c r="B283" s="83"/>
      <c r="C283" s="62"/>
      <c r="D283" s="83"/>
      <c r="E283" s="63"/>
    </row>
    <row r="284" spans="1:5" ht="16.5" thickBot="1">
      <c r="A284" s="113" t="s">
        <v>86</v>
      </c>
      <c r="B284" s="90">
        <f>+B276+B282</f>
        <v>8603500</v>
      </c>
      <c r="C284" s="91">
        <f>+C276+C282</f>
        <v>1</v>
      </c>
      <c r="D284" s="90">
        <f>+D276+D282</f>
        <v>468384</v>
      </c>
      <c r="E284" s="92">
        <f>+E276+E282</f>
        <v>1</v>
      </c>
    </row>
    <row r="285" spans="1:5" ht="16.5" thickTop="1">
      <c r="A285" s="60"/>
      <c r="B285" s="83"/>
      <c r="C285" s="62"/>
      <c r="D285" s="83"/>
      <c r="E285" s="63"/>
    </row>
    <row r="286" spans="1:5" ht="15.75">
      <c r="A286" s="111" t="s">
        <v>34</v>
      </c>
      <c r="B286" s="83"/>
      <c r="C286" s="52"/>
      <c r="D286" s="83"/>
      <c r="E286" s="59"/>
    </row>
    <row r="287" spans="1:5" ht="15.75">
      <c r="A287" s="57" t="s">
        <v>35</v>
      </c>
      <c r="B287" s="83">
        <v>354000</v>
      </c>
      <c r="C287" s="62">
        <f>+B287/$B$58</f>
        <v>0.3675875045169651</v>
      </c>
      <c r="D287" s="83">
        <v>300000</v>
      </c>
      <c r="E287" s="63">
        <f>+D287/$D$58</f>
        <v>0.38819072068901267</v>
      </c>
    </row>
    <row r="288" spans="1:5" ht="15.75">
      <c r="A288" s="57" t="s">
        <v>36</v>
      </c>
      <c r="B288" s="83">
        <v>9000</v>
      </c>
      <c r="C288" s="62">
        <f>+B288/$B$58</f>
        <v>0.009345445030092332</v>
      </c>
      <c r="D288" s="83">
        <v>5000</v>
      </c>
      <c r="E288" s="63">
        <f>+D288/$D$58</f>
        <v>0.006469845344816877</v>
      </c>
    </row>
    <row r="289" spans="1:5" ht="15.75">
      <c r="A289" s="57" t="s">
        <v>37</v>
      </c>
      <c r="B289" s="83">
        <v>531000</v>
      </c>
      <c r="C289" s="62">
        <f>+B289/$B$58</f>
        <v>0.5513812567754477</v>
      </c>
      <c r="D289" s="83">
        <v>306500</v>
      </c>
      <c r="E289" s="63">
        <f>+D289/$D$58</f>
        <v>0.3966015196372746</v>
      </c>
    </row>
    <row r="290" spans="1:5" ht="15.75">
      <c r="A290" s="57" t="s">
        <v>38</v>
      </c>
      <c r="B290" s="83">
        <v>32116</v>
      </c>
      <c r="C290" s="62">
        <f>+B290/$B$58</f>
        <v>0.03334870139849393</v>
      </c>
      <c r="D290" s="83">
        <v>80000</v>
      </c>
      <c r="E290" s="63">
        <f>+D290/$D$58</f>
        <v>0.10351752551707004</v>
      </c>
    </row>
    <row r="291" spans="1:5" ht="15.75">
      <c r="A291" s="57" t="s">
        <v>39</v>
      </c>
      <c r="B291" s="79">
        <f>+B324</f>
        <v>1500</v>
      </c>
      <c r="C291" s="62">
        <f>+B291/$B$58</f>
        <v>0.0015575741716820554</v>
      </c>
      <c r="D291" s="79">
        <f>+D324</f>
        <v>2301116</v>
      </c>
      <c r="E291" s="63">
        <f>+D291/$D$58</f>
        <v>2.977572928096727</v>
      </c>
    </row>
    <row r="292" spans="1:5" ht="15.75">
      <c r="A292" s="114" t="s">
        <v>40</v>
      </c>
      <c r="B292" s="87">
        <f>SUM(B287:B291)</f>
        <v>927616</v>
      </c>
      <c r="C292" s="88">
        <f>SUM(C287:C291)</f>
        <v>0.9632204818926811</v>
      </c>
      <c r="D292" s="87">
        <f>SUM(D287:D291)</f>
        <v>2992616</v>
      </c>
      <c r="E292" s="89">
        <f>SUM(E287:E291)</f>
        <v>3.872352539284901</v>
      </c>
    </row>
    <row r="293" spans="1:5" ht="15.75">
      <c r="A293" s="57"/>
      <c r="B293" s="83"/>
      <c r="C293" s="52"/>
      <c r="D293" s="83"/>
      <c r="E293" s="59"/>
    </row>
    <row r="294" spans="1:5" ht="15.75">
      <c r="A294" s="114" t="s">
        <v>77</v>
      </c>
      <c r="B294" s="87">
        <f>+B276+B282+B292</f>
        <v>9531116</v>
      </c>
      <c r="C294" s="52"/>
      <c r="D294" s="87">
        <f>+D276+D282+D292</f>
        <v>3461000</v>
      </c>
      <c r="E294" s="59"/>
    </row>
    <row r="295" spans="1:5" ht="12.75">
      <c r="A295" s="72"/>
      <c r="B295" s="73"/>
      <c r="C295" s="130">
        <f>+B268-B294</f>
        <v>0</v>
      </c>
      <c r="D295" s="73"/>
      <c r="E295" s="74"/>
    </row>
    <row r="296" spans="1:5" ht="15.75">
      <c r="A296" s="115" t="s">
        <v>163</v>
      </c>
      <c r="B296" s="116"/>
      <c r="C296" s="73"/>
      <c r="D296" s="73"/>
      <c r="E296" s="74"/>
    </row>
    <row r="297" spans="1:5" ht="15.75">
      <c r="A297" s="108" t="s">
        <v>164</v>
      </c>
      <c r="B297" s="117"/>
      <c r="C297" s="75"/>
      <c r="D297" s="75"/>
      <c r="E297" s="76"/>
    </row>
    <row r="298" spans="1:2" ht="15">
      <c r="A298" s="8"/>
      <c r="B298" s="6"/>
    </row>
    <row r="299" spans="1:5" ht="15.75">
      <c r="A299" s="54"/>
      <c r="B299" s="118" t="s">
        <v>170</v>
      </c>
      <c r="C299" s="119"/>
      <c r="D299" s="55"/>
      <c r="E299" s="56"/>
    </row>
    <row r="300" spans="1:5" ht="15.75">
      <c r="A300" s="57"/>
      <c r="B300" s="101" t="s">
        <v>169</v>
      </c>
      <c r="C300" s="120"/>
      <c r="D300" s="58"/>
      <c r="E300" s="59"/>
    </row>
    <row r="301" spans="1:5" ht="15.75">
      <c r="A301" s="60"/>
      <c r="B301" s="122" t="s">
        <v>171</v>
      </c>
      <c r="C301" s="121"/>
      <c r="D301" s="58"/>
      <c r="E301" s="59"/>
    </row>
    <row r="302" spans="1:6" ht="15.75">
      <c r="A302" s="57"/>
      <c r="B302" s="61"/>
      <c r="C302" s="61"/>
      <c r="D302" s="61"/>
      <c r="E302" s="59"/>
      <c r="F302">
        <v>22</v>
      </c>
    </row>
    <row r="303" spans="1:6" ht="15.75">
      <c r="A303" s="57"/>
      <c r="B303" s="61"/>
      <c r="C303" s="61"/>
      <c r="D303" s="61"/>
      <c r="E303" s="59"/>
      <c r="F303">
        <v>100</v>
      </c>
    </row>
    <row r="304" spans="1:6" ht="15.75">
      <c r="A304" s="57"/>
      <c r="B304" s="97" t="s">
        <v>157</v>
      </c>
      <c r="C304" s="123" t="s">
        <v>166</v>
      </c>
      <c r="D304" s="97" t="s">
        <v>158</v>
      </c>
      <c r="E304" s="123" t="s">
        <v>166</v>
      </c>
      <c r="F304">
        <f>+F303-F302</f>
        <v>78</v>
      </c>
    </row>
    <row r="305" spans="1:6" ht="15.75">
      <c r="A305" s="57"/>
      <c r="B305" s="78"/>
      <c r="C305" s="61"/>
      <c r="D305" s="78"/>
      <c r="E305" s="59"/>
      <c r="F305">
        <v>5</v>
      </c>
    </row>
    <row r="306" spans="1:6" ht="15.75">
      <c r="A306" s="57" t="s">
        <v>41</v>
      </c>
      <c r="B306" s="79">
        <f>3070000+500000</f>
        <v>3570000</v>
      </c>
      <c r="C306" s="53"/>
      <c r="D306" s="79">
        <f>2300000+100000+2000000</f>
        <v>4400000</v>
      </c>
      <c r="E306" s="59"/>
      <c r="F306">
        <f>+F304-F305</f>
        <v>73</v>
      </c>
    </row>
    <row r="307" spans="1:6" ht="15.75">
      <c r="A307" s="57" t="s">
        <v>42</v>
      </c>
      <c r="B307" s="79">
        <f>2000000+535000+420</f>
        <v>2535420</v>
      </c>
      <c r="C307" s="62">
        <f>+B307/B306</f>
        <v>0.7102016806722689</v>
      </c>
      <c r="D307" s="79">
        <v>1610000</v>
      </c>
      <c r="E307" s="63">
        <f>+D307/D306</f>
        <v>0.3659090909090909</v>
      </c>
      <c r="F307">
        <v>20</v>
      </c>
    </row>
    <row r="308" spans="1:6" ht="15.75">
      <c r="A308" s="64" t="s">
        <v>43</v>
      </c>
      <c r="B308" s="93">
        <f>+B306-B307</f>
        <v>1034580</v>
      </c>
      <c r="C308" s="53"/>
      <c r="D308" s="93">
        <f>+D306-D307</f>
        <v>2790000</v>
      </c>
      <c r="E308" s="59"/>
      <c r="F308">
        <f>+F306-F307</f>
        <v>53</v>
      </c>
    </row>
    <row r="309" spans="1:5" ht="15.75">
      <c r="A309" s="57"/>
      <c r="B309" s="79"/>
      <c r="C309" s="53"/>
      <c r="D309" s="79"/>
      <c r="E309" s="59"/>
    </row>
    <row r="310" spans="1:5" ht="15.75">
      <c r="A310" s="57" t="s">
        <v>44</v>
      </c>
      <c r="B310" s="79">
        <v>160000</v>
      </c>
      <c r="C310" s="62">
        <f>+B310/B306</f>
        <v>0.04481792717086835</v>
      </c>
      <c r="D310" s="79">
        <v>150000</v>
      </c>
      <c r="E310" s="63">
        <f>+D310/D306</f>
        <v>0.03409090909090909</v>
      </c>
    </row>
    <row r="311" spans="1:5" ht="15.75">
      <c r="A311" s="57"/>
      <c r="B311" s="79"/>
      <c r="C311" s="53"/>
      <c r="D311" s="79"/>
      <c r="E311" s="59"/>
    </row>
    <row r="312" spans="1:5" ht="15.75">
      <c r="A312" s="57" t="s">
        <v>45</v>
      </c>
      <c r="B312" s="79">
        <v>300000</v>
      </c>
      <c r="C312" s="62">
        <f>+B312/B306</f>
        <v>0.08403361344537816</v>
      </c>
      <c r="D312" s="79">
        <v>230000</v>
      </c>
      <c r="E312" s="63">
        <f>+D312/D306</f>
        <v>0.05227272727272727</v>
      </c>
    </row>
    <row r="313" spans="1:5" ht="15.75">
      <c r="A313" s="57"/>
      <c r="B313" s="79"/>
      <c r="C313" s="53"/>
      <c r="D313" s="79"/>
      <c r="E313" s="59"/>
    </row>
    <row r="314" spans="1:5" ht="15.75">
      <c r="A314" s="77" t="s">
        <v>167</v>
      </c>
      <c r="B314" s="93">
        <f>+B310+B312</f>
        <v>460000</v>
      </c>
      <c r="C314" s="62"/>
      <c r="D314" s="93">
        <f>+D310+D312</f>
        <v>380000</v>
      </c>
      <c r="E314" s="59"/>
    </row>
    <row r="315" spans="1:5" ht="15.75">
      <c r="A315" s="57"/>
      <c r="B315" s="79"/>
      <c r="C315" s="53"/>
      <c r="D315" s="79"/>
      <c r="E315" s="59"/>
    </row>
    <row r="316" spans="1:5" ht="15.75">
      <c r="A316" s="64" t="s">
        <v>46</v>
      </c>
      <c r="B316" s="94">
        <f>+B308-B314</f>
        <v>574580</v>
      </c>
      <c r="C316" s="53"/>
      <c r="D316" s="94">
        <f>+D308-D314</f>
        <v>2410000</v>
      </c>
      <c r="E316" s="59"/>
    </row>
    <row r="317" spans="1:5" ht="15.75">
      <c r="A317" s="57"/>
      <c r="B317" s="79"/>
      <c r="C317" s="53"/>
      <c r="D317" s="79"/>
      <c r="E317" s="59"/>
    </row>
    <row r="318" spans="1:5" ht="15.75">
      <c r="A318" s="57" t="s">
        <v>69</v>
      </c>
      <c r="B318" s="79">
        <v>500000</v>
      </c>
      <c r="C318" s="62">
        <f>+B318/B306</f>
        <v>0.1400560224089636</v>
      </c>
      <c r="D318" s="79">
        <v>50000</v>
      </c>
      <c r="E318" s="63">
        <f>+D318/D306</f>
        <v>0.011363636363636364</v>
      </c>
    </row>
    <row r="319" spans="1:5" ht="15.75">
      <c r="A319" s="57"/>
      <c r="B319" s="79"/>
      <c r="C319" s="53"/>
      <c r="D319" s="79"/>
      <c r="E319" s="59"/>
    </row>
    <row r="320" spans="1:5" ht="15.75">
      <c r="A320" s="64" t="s">
        <v>47</v>
      </c>
      <c r="B320" s="93">
        <f>+B316-B318</f>
        <v>74580</v>
      </c>
      <c r="C320" s="53"/>
      <c r="D320" s="93">
        <f>+D316-D318</f>
        <v>2360000</v>
      </c>
      <c r="E320" s="59"/>
    </row>
    <row r="321" spans="1:5" ht="15.75">
      <c r="A321" s="57"/>
      <c r="B321" s="79"/>
      <c r="C321" s="53"/>
      <c r="D321" s="79"/>
      <c r="E321" s="59"/>
    </row>
    <row r="322" spans="1:5" ht="15.75">
      <c r="A322" s="57" t="s">
        <v>48</v>
      </c>
      <c r="B322" s="79">
        <v>73080</v>
      </c>
      <c r="C322" s="62">
        <f>+B322/B306</f>
        <v>0.02047058823529412</v>
      </c>
      <c r="D322" s="79">
        <v>58884</v>
      </c>
      <c r="E322" s="63">
        <f>+D322/D306</f>
        <v>0.013382727272727274</v>
      </c>
    </row>
    <row r="323" spans="1:5" ht="15.75">
      <c r="A323" s="57"/>
      <c r="B323" s="79"/>
      <c r="C323" s="53"/>
      <c r="D323" s="79"/>
      <c r="E323" s="59"/>
    </row>
    <row r="324" spans="1:5" ht="16.5" thickBot="1">
      <c r="A324" s="65" t="s">
        <v>49</v>
      </c>
      <c r="B324" s="95">
        <f>+B320-B322</f>
        <v>1500</v>
      </c>
      <c r="C324" s="62">
        <f>+B324/B306</f>
        <v>0.0004201680672268908</v>
      </c>
      <c r="D324" s="95">
        <f>+D320-D322</f>
        <v>2301116</v>
      </c>
      <c r="E324" s="63">
        <f>+D324/D306</f>
        <v>0.5229809090909091</v>
      </c>
    </row>
    <row r="325" spans="1:5" ht="16.5" thickTop="1">
      <c r="A325" s="57"/>
      <c r="B325" s="80"/>
      <c r="C325" s="96">
        <f>SUM(C306:C324)</f>
        <v>0.9999999999999999</v>
      </c>
      <c r="D325" s="80"/>
      <c r="E325" s="96">
        <f>SUM(E306:E324)</f>
        <v>1</v>
      </c>
    </row>
    <row r="326" spans="1:5" ht="15">
      <c r="A326" s="66"/>
      <c r="B326" s="81"/>
      <c r="C326" s="67"/>
      <c r="D326" s="81"/>
      <c r="E326" s="68"/>
    </row>
    <row r="328" spans="1:6" ht="22.5">
      <c r="A328" s="33" t="s">
        <v>51</v>
      </c>
      <c r="B328" s="22"/>
      <c r="C328" s="22"/>
      <c r="D328" s="22"/>
      <c r="E328" s="23"/>
      <c r="F328" s="24"/>
    </row>
    <row r="329" spans="1:6" ht="19.5">
      <c r="A329" s="42" t="s">
        <v>95</v>
      </c>
      <c r="B329" s="22"/>
      <c r="C329" s="22"/>
      <c r="D329" s="22"/>
      <c r="E329" s="23"/>
      <c r="F329" s="24"/>
    </row>
    <row r="330" spans="1:6" ht="19.5">
      <c r="A330" s="42" t="s">
        <v>96</v>
      </c>
      <c r="B330" s="22"/>
      <c r="C330" s="22"/>
      <c r="D330" s="22"/>
      <c r="E330" s="23"/>
      <c r="F330" s="24"/>
    </row>
    <row r="331" spans="1:6" ht="22.5">
      <c r="A331" s="35" t="s">
        <v>52</v>
      </c>
      <c r="B331" s="37">
        <f>+B249</f>
        <v>8543116</v>
      </c>
      <c r="C331" s="36"/>
      <c r="D331" s="38">
        <f>+B331/B332</f>
        <v>1.0607954305581424</v>
      </c>
      <c r="E331" s="23"/>
      <c r="F331" s="24"/>
    </row>
    <row r="332" spans="1:6" ht="18">
      <c r="A332" s="36"/>
      <c r="B332" s="39">
        <f>+B276</f>
        <v>8053500</v>
      </c>
      <c r="C332" s="36"/>
      <c r="D332" s="38"/>
      <c r="E332" s="23"/>
      <c r="F332" s="24"/>
    </row>
    <row r="333" spans="1:6" ht="18">
      <c r="A333" s="36"/>
      <c r="B333" s="36"/>
      <c r="C333" s="36"/>
      <c r="D333" s="38"/>
      <c r="E333" s="23"/>
      <c r="F333" s="24"/>
    </row>
    <row r="334" spans="1:6" ht="22.5">
      <c r="A334" s="35" t="s">
        <v>53</v>
      </c>
      <c r="B334" s="37">
        <f>+B331-B245</f>
        <v>3543116</v>
      </c>
      <c r="C334" s="36"/>
      <c r="D334" s="38">
        <f>+B334/B335</f>
        <v>0.43994735208294533</v>
      </c>
      <c r="E334" s="23"/>
      <c r="F334" s="24"/>
    </row>
    <row r="335" spans="1:6" ht="18">
      <c r="A335" s="36"/>
      <c r="B335" s="39">
        <f>+B332</f>
        <v>8053500</v>
      </c>
      <c r="C335" s="22"/>
      <c r="D335" s="28"/>
      <c r="E335" s="23"/>
      <c r="F335" s="24"/>
    </row>
    <row r="336" spans="1:6" ht="19.5">
      <c r="A336" s="42" t="s">
        <v>97</v>
      </c>
      <c r="B336" s="39"/>
      <c r="C336" s="22"/>
      <c r="D336" s="28"/>
      <c r="E336" s="23"/>
      <c r="F336" s="24"/>
    </row>
    <row r="337" spans="1:6" ht="18">
      <c r="A337" s="36" t="s">
        <v>136</v>
      </c>
      <c r="B337" s="29"/>
      <c r="C337" s="22"/>
      <c r="D337" s="28"/>
      <c r="E337" s="23"/>
      <c r="F337" s="24"/>
    </row>
    <row r="338" spans="1:6" ht="18">
      <c r="A338" s="36" t="s">
        <v>137</v>
      </c>
      <c r="B338" s="29"/>
      <c r="C338" s="22"/>
      <c r="D338" s="28"/>
      <c r="E338" s="23"/>
      <c r="F338" s="24"/>
    </row>
    <row r="339" spans="1:6" ht="18">
      <c r="A339" s="36" t="s">
        <v>138</v>
      </c>
      <c r="B339" s="29"/>
      <c r="C339" s="22"/>
      <c r="D339" s="28"/>
      <c r="E339" s="23"/>
      <c r="F339" s="24"/>
    </row>
    <row r="340" spans="1:6" ht="18">
      <c r="A340" s="22"/>
      <c r="B340" s="29"/>
      <c r="C340" s="22"/>
      <c r="D340" s="28"/>
      <c r="E340" s="23"/>
      <c r="F340" s="24"/>
    </row>
    <row r="341" spans="1:6" ht="18">
      <c r="A341" s="22"/>
      <c r="B341" s="29"/>
      <c r="C341" s="22"/>
      <c r="D341" s="28"/>
      <c r="E341" s="23"/>
      <c r="F341" s="24"/>
    </row>
    <row r="342" spans="1:6" ht="22.5">
      <c r="A342" s="34" t="s">
        <v>54</v>
      </c>
      <c r="B342" s="22"/>
      <c r="C342" s="22"/>
      <c r="D342" s="28"/>
      <c r="E342" s="23"/>
      <c r="F342" s="24"/>
    </row>
    <row r="343" spans="1:6" ht="19.5">
      <c r="A343" s="42" t="s">
        <v>98</v>
      </c>
      <c r="B343" s="22"/>
      <c r="C343" s="22"/>
      <c r="D343" s="28"/>
      <c r="E343" s="23"/>
      <c r="F343" s="24"/>
    </row>
    <row r="344" spans="1:6" ht="19.5">
      <c r="A344" s="42" t="s">
        <v>99</v>
      </c>
      <c r="B344" s="22"/>
      <c r="C344" s="22"/>
      <c r="D344" s="28"/>
      <c r="E344" s="23"/>
      <c r="F344" s="24"/>
    </row>
    <row r="345" spans="1:6" ht="22.5">
      <c r="A345" s="35" t="s">
        <v>100</v>
      </c>
      <c r="B345" s="37">
        <f>SUM(B276+B282)</f>
        <v>8603500</v>
      </c>
      <c r="C345" s="36"/>
      <c r="D345" s="40">
        <f>+(+B345/+B346)</f>
        <v>0.9026749858043905</v>
      </c>
      <c r="E345" s="25"/>
      <c r="F345" s="24"/>
    </row>
    <row r="346" spans="1:6" ht="18">
      <c r="A346" s="36"/>
      <c r="B346" s="39">
        <f>+B268</f>
        <v>9531116</v>
      </c>
      <c r="C346" s="36"/>
      <c r="D346" s="38"/>
      <c r="E346" s="25"/>
      <c r="F346" s="24"/>
    </row>
    <row r="347" spans="1:6" ht="18">
      <c r="A347" s="36"/>
      <c r="B347" s="36"/>
      <c r="C347" s="36"/>
      <c r="D347" s="38"/>
      <c r="E347" s="25"/>
      <c r="F347" s="24"/>
    </row>
    <row r="348" spans="1:6" ht="22.5">
      <c r="A348" s="35" t="s">
        <v>101</v>
      </c>
      <c r="B348" s="37">
        <f>+B292</f>
        <v>927616</v>
      </c>
      <c r="C348" s="36"/>
      <c r="D348" s="40">
        <f>+B348/B349</f>
        <v>0.09732501419560942</v>
      </c>
      <c r="E348" s="131"/>
      <c r="F348" s="24"/>
    </row>
    <row r="349" spans="1:6" ht="18">
      <c r="A349" s="36"/>
      <c r="B349" s="39">
        <f>+B268</f>
        <v>9531116</v>
      </c>
      <c r="C349" s="36"/>
      <c r="D349" s="38"/>
      <c r="E349" s="25"/>
      <c r="F349" s="24"/>
    </row>
    <row r="350" spans="1:6" ht="18">
      <c r="A350" s="36"/>
      <c r="B350" s="39"/>
      <c r="C350" s="36"/>
      <c r="D350" s="38"/>
      <c r="E350" s="25"/>
      <c r="F350" s="24"/>
    </row>
    <row r="351" spans="1:6" ht="22.5">
      <c r="A351" s="35" t="s">
        <v>102</v>
      </c>
      <c r="B351" s="37">
        <f>+B284</f>
        <v>8603500</v>
      </c>
      <c r="C351" s="36"/>
      <c r="D351" s="40">
        <f>+B351/B352</f>
        <v>9.274850800331171</v>
      </c>
      <c r="E351" s="25"/>
      <c r="F351" s="24"/>
    </row>
    <row r="352" spans="1:6" ht="18">
      <c r="A352" s="36"/>
      <c r="B352" s="39">
        <f>+B292</f>
        <v>927616</v>
      </c>
      <c r="C352" s="36"/>
      <c r="D352" s="38"/>
      <c r="E352" s="25"/>
      <c r="F352" s="24"/>
    </row>
    <row r="353" spans="1:6" ht="18">
      <c r="A353" s="36"/>
      <c r="B353" s="39"/>
      <c r="C353" s="36"/>
      <c r="D353" s="38"/>
      <c r="E353" s="25"/>
      <c r="F353" s="24"/>
    </row>
    <row r="354" spans="1:6" ht="18">
      <c r="A354" s="36"/>
      <c r="B354" s="39"/>
      <c r="C354" s="36"/>
      <c r="D354" s="38"/>
      <c r="E354" s="25"/>
      <c r="F354" s="24"/>
    </row>
    <row r="355" spans="1:6" ht="18">
      <c r="A355" s="36"/>
      <c r="B355" s="39"/>
      <c r="C355" s="36"/>
      <c r="D355" s="38"/>
      <c r="E355" s="25"/>
      <c r="F355" s="24"/>
    </row>
    <row r="356" spans="1:6" ht="18">
      <c r="A356" s="36" t="s">
        <v>139</v>
      </c>
      <c r="B356" s="39"/>
      <c r="C356" s="36"/>
      <c r="D356" s="38"/>
      <c r="E356" s="25"/>
      <c r="F356" s="24"/>
    </row>
    <row r="357" spans="1:6" ht="18">
      <c r="A357" s="36" t="s">
        <v>140</v>
      </c>
      <c r="B357" s="39"/>
      <c r="C357" s="36"/>
      <c r="D357" s="38"/>
      <c r="E357" s="25"/>
      <c r="F357" s="24"/>
    </row>
    <row r="358" spans="1:6" ht="18">
      <c r="A358" s="36" t="s">
        <v>141</v>
      </c>
      <c r="B358" s="39"/>
      <c r="C358" s="36"/>
      <c r="D358" s="38"/>
      <c r="E358" s="25"/>
      <c r="F358" s="24"/>
    </row>
    <row r="359" spans="1:6" ht="18">
      <c r="A359" s="36" t="s">
        <v>78</v>
      </c>
      <c r="B359" s="39"/>
      <c r="C359" s="36"/>
      <c r="D359" s="38"/>
      <c r="E359" s="25"/>
      <c r="F359" s="24"/>
    </row>
    <row r="360" spans="1:6" ht="18">
      <c r="A360" s="36" t="s">
        <v>146</v>
      </c>
      <c r="B360" s="39"/>
      <c r="C360" s="36"/>
      <c r="D360" s="38"/>
      <c r="E360" s="25"/>
      <c r="F360" s="24"/>
    </row>
    <row r="361" spans="1:6" ht="18">
      <c r="A361" s="36" t="s">
        <v>144</v>
      </c>
      <c r="B361" s="29"/>
      <c r="C361" s="22"/>
      <c r="D361" s="28"/>
      <c r="E361" s="23"/>
      <c r="F361" s="24"/>
    </row>
    <row r="362" spans="1:6" ht="18">
      <c r="A362" s="36" t="s">
        <v>145</v>
      </c>
      <c r="B362" s="29"/>
      <c r="C362" s="22"/>
      <c r="D362" s="28"/>
      <c r="E362" s="23"/>
      <c r="F362" s="24"/>
    </row>
    <row r="363" spans="1:6" ht="22.5">
      <c r="A363" s="32" t="s">
        <v>55</v>
      </c>
      <c r="B363" s="22"/>
      <c r="C363" s="22"/>
      <c r="D363" s="28"/>
      <c r="E363" s="23"/>
      <c r="F363" s="24"/>
    </row>
    <row r="364" spans="1:6" ht="19.5">
      <c r="A364" s="42" t="s">
        <v>103</v>
      </c>
      <c r="B364" s="22"/>
      <c r="C364" s="22"/>
      <c r="D364" s="28"/>
      <c r="E364" s="23"/>
      <c r="F364" s="24"/>
    </row>
    <row r="365" spans="1:6" ht="22.5">
      <c r="A365" s="35" t="s">
        <v>105</v>
      </c>
      <c r="B365" s="26">
        <f>+B306</f>
        <v>3570000</v>
      </c>
      <c r="C365" s="36"/>
      <c r="D365" s="38">
        <f>+B365/B366</f>
        <v>1.373076923076923</v>
      </c>
      <c r="E365" s="23"/>
      <c r="F365" s="24"/>
    </row>
    <row r="366" spans="1:6" ht="19.5">
      <c r="A366" s="42" t="s">
        <v>106</v>
      </c>
      <c r="B366" s="39">
        <f>(+B245+D245)/2</f>
        <v>2600000</v>
      </c>
      <c r="C366" s="36"/>
      <c r="D366" s="38"/>
      <c r="E366" s="23"/>
      <c r="F366" s="24"/>
    </row>
    <row r="367" spans="1:6" ht="19.5">
      <c r="A367" s="42"/>
      <c r="B367" s="22"/>
      <c r="C367" s="22"/>
      <c r="D367" s="28"/>
      <c r="E367" s="23"/>
      <c r="F367" s="24"/>
    </row>
    <row r="368" spans="1:6" ht="19.5">
      <c r="A368" s="42" t="s">
        <v>107</v>
      </c>
      <c r="B368" s="22"/>
      <c r="C368" s="22"/>
      <c r="D368" s="28"/>
      <c r="E368" s="23"/>
      <c r="F368" s="24"/>
    </row>
    <row r="369" spans="1:6" ht="22.5">
      <c r="A369" s="35" t="s">
        <v>108</v>
      </c>
      <c r="B369" s="37">
        <f>+B366</f>
        <v>2600000</v>
      </c>
      <c r="C369" s="36" t="s">
        <v>109</v>
      </c>
      <c r="D369" s="38">
        <f>(+B369/B370)*365</f>
        <v>265.82633053221286</v>
      </c>
      <c r="E369" s="44" t="s">
        <v>110</v>
      </c>
      <c r="F369" s="24"/>
    </row>
    <row r="370" spans="1:6" ht="19.5">
      <c r="A370" s="42"/>
      <c r="B370" s="27">
        <f>+B365</f>
        <v>3570000</v>
      </c>
      <c r="C370" s="36"/>
      <c r="D370" s="38"/>
      <c r="E370" s="44" t="s">
        <v>111</v>
      </c>
      <c r="F370" s="24"/>
    </row>
    <row r="371" spans="1:6" ht="19.5">
      <c r="A371" s="42" t="s">
        <v>107</v>
      </c>
      <c r="B371" s="27"/>
      <c r="C371" s="36"/>
      <c r="D371" s="38"/>
      <c r="E371" s="44"/>
      <c r="F371" s="24"/>
    </row>
    <row r="372" spans="1:6" ht="22.5">
      <c r="A372" s="35" t="s">
        <v>112</v>
      </c>
      <c r="B372" s="37">
        <f>+B366</f>
        <v>2600000</v>
      </c>
      <c r="C372" s="22"/>
      <c r="D372" s="38">
        <f>+B372/B373</f>
        <v>265.82633053221286</v>
      </c>
      <c r="E372" s="44" t="s">
        <v>113</v>
      </c>
      <c r="F372" s="24"/>
    </row>
    <row r="373" spans="1:6" ht="19.5">
      <c r="A373" s="42"/>
      <c r="B373" s="45">
        <f>+B306/365</f>
        <v>9780.82191780822</v>
      </c>
      <c r="C373" s="22"/>
      <c r="D373" s="28"/>
      <c r="E373" s="44" t="s">
        <v>114</v>
      </c>
      <c r="F373" s="24"/>
    </row>
    <row r="374" spans="1:6" ht="19.5">
      <c r="A374" s="42"/>
      <c r="B374" s="22"/>
      <c r="C374" s="22"/>
      <c r="D374" s="28"/>
      <c r="E374" s="44" t="s">
        <v>115</v>
      </c>
      <c r="F374" s="24"/>
    </row>
    <row r="375" spans="1:6" ht="19.5">
      <c r="A375" s="42"/>
      <c r="B375" s="22"/>
      <c r="C375" s="22"/>
      <c r="D375" s="28"/>
      <c r="E375" s="23"/>
      <c r="F375" s="24"/>
    </row>
    <row r="376" spans="1:6" ht="19.5">
      <c r="A376" s="42"/>
      <c r="B376" s="22"/>
      <c r="C376" s="22"/>
      <c r="D376" s="28"/>
      <c r="E376" s="23"/>
      <c r="F376" s="24"/>
    </row>
    <row r="377" spans="1:6" ht="19.5">
      <c r="A377" s="42"/>
      <c r="B377" s="22"/>
      <c r="C377" s="22"/>
      <c r="D377" s="28"/>
      <c r="E377" s="44" t="s">
        <v>116</v>
      </c>
      <c r="F377" s="24"/>
    </row>
    <row r="378" spans="1:6" ht="22.5">
      <c r="A378" s="35" t="s">
        <v>104</v>
      </c>
      <c r="B378" s="26">
        <f>+B307</f>
        <v>2535420</v>
      </c>
      <c r="C378" s="27">
        <f>+B379</f>
        <v>2600000</v>
      </c>
      <c r="D378" s="38">
        <f>+B378/B379</f>
        <v>0.9751615384615384</v>
      </c>
      <c r="E378" s="44" t="s">
        <v>118</v>
      </c>
      <c r="F378" s="24">
        <f>+C378/C379*365</f>
        <v>374.29696066134994</v>
      </c>
    </row>
    <row r="379" spans="1:6" ht="18">
      <c r="A379" s="36"/>
      <c r="B379" s="27">
        <f>+(D245+B245)/2</f>
        <v>2600000</v>
      </c>
      <c r="C379" s="27">
        <f>+B378</f>
        <v>2535420</v>
      </c>
      <c r="D379" s="38"/>
      <c r="E379" s="44" t="s">
        <v>117</v>
      </c>
      <c r="F379" s="24"/>
    </row>
    <row r="380" spans="1:6" ht="18">
      <c r="A380" s="36" t="s">
        <v>79</v>
      </c>
      <c r="B380" s="27"/>
      <c r="C380" s="36"/>
      <c r="D380" s="38"/>
      <c r="E380" s="25"/>
      <c r="F380" s="24"/>
    </row>
    <row r="381" spans="1:6" ht="18">
      <c r="A381" s="36" t="s">
        <v>87</v>
      </c>
      <c r="B381" s="27"/>
      <c r="C381" s="36"/>
      <c r="D381" s="38"/>
      <c r="E381" s="25"/>
      <c r="F381" s="24"/>
    </row>
    <row r="382" spans="1:6" ht="18">
      <c r="A382" s="36"/>
      <c r="B382" s="27"/>
      <c r="C382" s="36"/>
      <c r="D382" s="38"/>
      <c r="E382" s="25"/>
      <c r="F382" s="24"/>
    </row>
    <row r="383" spans="1:6" ht="18">
      <c r="A383" s="36"/>
      <c r="B383" s="27"/>
      <c r="C383" s="36"/>
      <c r="D383" s="38"/>
      <c r="E383" s="25"/>
      <c r="F383" s="24"/>
    </row>
    <row r="384" spans="1:6" ht="22.5">
      <c r="A384" s="35" t="s">
        <v>56</v>
      </c>
      <c r="B384" s="27"/>
      <c r="C384" s="36"/>
      <c r="D384" s="38"/>
      <c r="E384" s="25"/>
      <c r="F384" s="24"/>
    </row>
    <row r="385" spans="1:6" ht="18">
      <c r="A385" s="36" t="s">
        <v>57</v>
      </c>
      <c r="B385" s="26">
        <f>(+D243+B243)/2</f>
        <v>1855000</v>
      </c>
      <c r="C385" s="36"/>
      <c r="D385" s="38">
        <f>+B385/B386</f>
        <v>189.656862745098</v>
      </c>
      <c r="E385" s="44" t="s">
        <v>119</v>
      </c>
      <c r="F385" s="24"/>
    </row>
    <row r="386" spans="1:6" ht="18">
      <c r="A386" s="36"/>
      <c r="B386" s="27">
        <f>+B306/365</f>
        <v>9780.82191780822</v>
      </c>
      <c r="C386" s="36"/>
      <c r="D386" s="38"/>
      <c r="E386" s="44" t="s">
        <v>120</v>
      </c>
      <c r="F386" s="24"/>
    </row>
    <row r="387" spans="1:6" ht="19.5">
      <c r="A387" s="42" t="s">
        <v>107</v>
      </c>
      <c r="B387" s="27"/>
      <c r="C387" s="36"/>
      <c r="D387" s="38"/>
      <c r="E387" s="25"/>
      <c r="F387" s="24"/>
    </row>
    <row r="388" spans="1:6" ht="18">
      <c r="A388" s="36" t="s">
        <v>121</v>
      </c>
      <c r="B388" s="27">
        <f>+B385</f>
        <v>1855000</v>
      </c>
      <c r="C388" s="36" t="s">
        <v>109</v>
      </c>
      <c r="D388" s="38">
        <f>(+B388/B389)*365</f>
        <v>189.65686274509807</v>
      </c>
      <c r="E388" s="25"/>
      <c r="F388" s="24"/>
    </row>
    <row r="389" spans="1:6" ht="18">
      <c r="A389" s="36"/>
      <c r="B389" s="27">
        <f>+B306</f>
        <v>3570000</v>
      </c>
      <c r="C389" s="36"/>
      <c r="D389" s="38"/>
      <c r="E389" s="25"/>
      <c r="F389" s="24"/>
    </row>
    <row r="390" spans="1:6" ht="18">
      <c r="A390" s="36"/>
      <c r="B390" s="27"/>
      <c r="C390" s="36"/>
      <c r="D390" s="38"/>
      <c r="E390" s="25"/>
      <c r="F390" s="24"/>
    </row>
    <row r="391" spans="1:6" ht="18">
      <c r="A391" s="36" t="s">
        <v>172</v>
      </c>
      <c r="B391" s="128">
        <f>((+B272+D272)/2)/B307</f>
        <v>1.6169747024161678</v>
      </c>
      <c r="C391" s="36"/>
      <c r="D391" s="38"/>
      <c r="E391" s="25"/>
      <c r="F391" s="24"/>
    </row>
    <row r="392" spans="1:6" ht="18">
      <c r="A392" s="36" t="s">
        <v>88</v>
      </c>
      <c r="B392" s="27"/>
      <c r="C392" s="36"/>
      <c r="D392" s="38"/>
      <c r="E392" s="25"/>
      <c r="F392" s="24"/>
    </row>
    <row r="393" spans="1:6" ht="18">
      <c r="A393" s="36" t="s">
        <v>89</v>
      </c>
      <c r="B393" s="27"/>
      <c r="C393" s="36"/>
      <c r="D393" s="38"/>
      <c r="E393" s="25"/>
      <c r="F393" s="24"/>
    </row>
    <row r="394" spans="1:6" ht="18">
      <c r="A394" s="36" t="s">
        <v>80</v>
      </c>
      <c r="B394" s="27"/>
      <c r="C394" s="36"/>
      <c r="D394" s="38"/>
      <c r="E394" s="25"/>
      <c r="F394" s="24"/>
    </row>
    <row r="395" spans="1:6" ht="18">
      <c r="A395" s="36"/>
      <c r="B395" s="27"/>
      <c r="C395" s="36"/>
      <c r="D395" s="38"/>
      <c r="E395" s="25"/>
      <c r="F395" s="24"/>
    </row>
    <row r="396" spans="1:6" ht="22.5">
      <c r="A396" s="35" t="s">
        <v>58</v>
      </c>
      <c r="B396" s="27"/>
      <c r="C396" s="36"/>
      <c r="D396" s="38"/>
      <c r="E396" s="25"/>
      <c r="F396" s="24"/>
    </row>
    <row r="397" spans="1:6" ht="22.5">
      <c r="A397" s="4" t="s">
        <v>59</v>
      </c>
      <c r="B397" s="26">
        <f>+B306</f>
        <v>3570000</v>
      </c>
      <c r="C397" s="36"/>
      <c r="D397" s="38">
        <f>+B397/B398</f>
        <v>4.296028880866426</v>
      </c>
      <c r="E397" s="44" t="s">
        <v>122</v>
      </c>
      <c r="F397" s="24"/>
    </row>
    <row r="398" spans="1:6" ht="18">
      <c r="A398" s="36"/>
      <c r="B398" s="27">
        <f>+B258</f>
        <v>831000</v>
      </c>
      <c r="C398" s="36"/>
      <c r="D398" s="38"/>
      <c r="E398" s="44" t="s">
        <v>123</v>
      </c>
      <c r="F398" s="24"/>
    </row>
    <row r="399" spans="2:6" ht="18">
      <c r="B399" s="27"/>
      <c r="C399" s="36"/>
      <c r="D399" s="38"/>
      <c r="E399" s="44" t="s">
        <v>124</v>
      </c>
      <c r="F399" s="24"/>
    </row>
    <row r="400" spans="1:6" ht="18">
      <c r="A400" s="43" t="s">
        <v>126</v>
      </c>
      <c r="B400" s="27"/>
      <c r="C400" s="36"/>
      <c r="D400" s="38"/>
      <c r="E400" s="44"/>
      <c r="F400" s="24"/>
    </row>
    <row r="401" spans="1:6" ht="18">
      <c r="A401" s="43" t="s">
        <v>125</v>
      </c>
      <c r="B401" s="27"/>
      <c r="C401" s="36"/>
      <c r="D401" s="38"/>
      <c r="E401" s="44"/>
      <c r="F401" s="24"/>
    </row>
    <row r="402" spans="1:6" ht="22.5">
      <c r="A402" s="35" t="s">
        <v>60</v>
      </c>
      <c r="B402" s="27"/>
      <c r="C402" s="36"/>
      <c r="D402" s="38"/>
      <c r="E402" s="44" t="s">
        <v>128</v>
      </c>
      <c r="F402" s="24"/>
    </row>
    <row r="403" spans="1:6" ht="18">
      <c r="A403" s="36" t="s">
        <v>127</v>
      </c>
      <c r="B403" s="26">
        <f>+B306</f>
        <v>3570000</v>
      </c>
      <c r="C403" s="36"/>
      <c r="D403" s="38">
        <f>+B403/B404</f>
        <v>0.3745626430315191</v>
      </c>
      <c r="E403" s="44" t="s">
        <v>129</v>
      </c>
      <c r="F403" s="24"/>
    </row>
    <row r="404" spans="1:6" ht="18">
      <c r="A404" s="36" t="s">
        <v>66</v>
      </c>
      <c r="B404" s="27">
        <f>+B268</f>
        <v>9531116</v>
      </c>
      <c r="C404" s="36"/>
      <c r="D404" s="38"/>
      <c r="E404" s="44" t="s">
        <v>130</v>
      </c>
      <c r="F404" s="24"/>
    </row>
    <row r="405" spans="1:6" ht="18">
      <c r="A405" s="36"/>
      <c r="B405" s="27"/>
      <c r="C405" s="36"/>
      <c r="D405" s="38"/>
      <c r="E405" s="44" t="s">
        <v>131</v>
      </c>
      <c r="F405" s="24"/>
    </row>
    <row r="406" spans="1:6" ht="18">
      <c r="A406" s="36" t="s">
        <v>147</v>
      </c>
      <c r="B406" s="27"/>
      <c r="C406" s="36"/>
      <c r="D406" s="38"/>
      <c r="E406" s="25"/>
      <c r="F406" s="24"/>
    </row>
    <row r="407" spans="1:6" ht="18">
      <c r="A407" s="36" t="s">
        <v>81</v>
      </c>
      <c r="B407" s="27"/>
      <c r="C407" s="36"/>
      <c r="D407" s="38"/>
      <c r="E407" s="25"/>
      <c r="F407" s="24"/>
    </row>
    <row r="408" spans="1:6" ht="18">
      <c r="A408" s="36" t="s">
        <v>82</v>
      </c>
      <c r="B408" s="27"/>
      <c r="C408" s="36"/>
      <c r="D408" s="38"/>
      <c r="E408" s="25"/>
      <c r="F408" s="24"/>
    </row>
    <row r="409" spans="1:6" ht="18">
      <c r="A409" s="36" t="s">
        <v>83</v>
      </c>
      <c r="B409" s="27"/>
      <c r="C409" s="36"/>
      <c r="D409" s="38"/>
      <c r="E409" s="25"/>
      <c r="F409" s="24"/>
    </row>
    <row r="410" spans="1:6" ht="18">
      <c r="A410" s="36"/>
      <c r="B410" s="27"/>
      <c r="C410" s="36"/>
      <c r="D410" s="38"/>
      <c r="E410" s="25"/>
      <c r="F410" s="24"/>
    </row>
    <row r="411" spans="2:6" ht="18">
      <c r="B411" s="27"/>
      <c r="C411" s="36"/>
      <c r="D411" s="38"/>
      <c r="E411" s="25"/>
      <c r="F411" s="24"/>
    </row>
    <row r="412" spans="1:6" ht="22.5">
      <c r="A412" s="32" t="s">
        <v>61</v>
      </c>
      <c r="B412" s="30"/>
      <c r="C412" s="22"/>
      <c r="D412" s="28"/>
      <c r="E412" s="23"/>
      <c r="F412" s="23"/>
    </row>
    <row r="413" spans="1:6" ht="18">
      <c r="A413" s="22"/>
      <c r="B413" s="30"/>
      <c r="C413" s="22"/>
      <c r="D413" s="28"/>
      <c r="E413" s="23"/>
      <c r="F413" s="23"/>
    </row>
    <row r="414" spans="1:6" ht="22.5">
      <c r="A414" s="51" t="s">
        <v>62</v>
      </c>
      <c r="B414" s="27"/>
      <c r="C414" s="36"/>
      <c r="D414" s="38"/>
      <c r="E414" s="25"/>
      <c r="F414" s="23"/>
    </row>
    <row r="415" spans="1:6" ht="18">
      <c r="A415" s="36" t="s">
        <v>63</v>
      </c>
      <c r="B415" s="26">
        <f>+B324</f>
        <v>1500</v>
      </c>
      <c r="C415" s="36"/>
      <c r="D415" s="40">
        <f>+B415/B416</f>
        <v>0.0016170484338346902</v>
      </c>
      <c r="E415" s="25"/>
      <c r="F415" s="23"/>
    </row>
    <row r="416" spans="1:6" ht="18">
      <c r="A416" s="36"/>
      <c r="B416" s="27">
        <f>+B292</f>
        <v>927616</v>
      </c>
      <c r="C416" s="36"/>
      <c r="D416" s="38"/>
      <c r="E416" s="25"/>
      <c r="F416" s="23"/>
    </row>
    <row r="417" spans="1:6" ht="22.5">
      <c r="A417" s="51" t="s">
        <v>64</v>
      </c>
      <c r="B417" s="27"/>
      <c r="C417" s="36"/>
      <c r="D417" s="38"/>
      <c r="E417" s="25"/>
      <c r="F417" s="23"/>
    </row>
    <row r="418" spans="1:6" ht="18">
      <c r="A418" s="36" t="s">
        <v>65</v>
      </c>
      <c r="B418" s="26">
        <f>+B324</f>
        <v>1500</v>
      </c>
      <c r="C418" s="36"/>
      <c r="D418" s="40">
        <f>+B418/B419</f>
        <v>0.0001573792617779492</v>
      </c>
      <c r="E418" s="25"/>
      <c r="F418" s="23"/>
    </row>
    <row r="419" spans="1:6" ht="18">
      <c r="A419" s="36"/>
      <c r="B419" s="27">
        <f>+B268</f>
        <v>9531116</v>
      </c>
      <c r="C419" s="36"/>
      <c r="D419" s="38"/>
      <c r="E419" s="25"/>
      <c r="F419" s="23"/>
    </row>
    <row r="420" spans="1:6" ht="18">
      <c r="A420" s="36"/>
      <c r="B420" s="27"/>
      <c r="C420" s="36"/>
      <c r="D420" s="38"/>
      <c r="E420" s="25"/>
      <c r="F420" s="23"/>
    </row>
    <row r="421" spans="1:6" ht="22.5">
      <c r="A421" s="51" t="s">
        <v>67</v>
      </c>
      <c r="B421" s="27"/>
      <c r="C421" s="36"/>
      <c r="D421" s="38"/>
      <c r="E421" s="25"/>
      <c r="F421" s="23"/>
    </row>
    <row r="422" spans="1:6" ht="18">
      <c r="A422" s="36" t="s">
        <v>68</v>
      </c>
      <c r="B422" s="26">
        <f>+B316</f>
        <v>574580</v>
      </c>
      <c r="C422" s="36"/>
      <c r="D422" s="38">
        <f>+B422/B423</f>
        <v>1.14916</v>
      </c>
      <c r="E422" s="25">
        <f>+B423/B422</f>
        <v>0.8702008423544154</v>
      </c>
      <c r="F422" s="23"/>
    </row>
    <row r="423" spans="1:6" ht="18">
      <c r="A423" s="36" t="s">
        <v>94</v>
      </c>
      <c r="B423" s="27">
        <f>+B318</f>
        <v>500000</v>
      </c>
      <c r="C423" s="36"/>
      <c r="D423" s="38"/>
      <c r="E423" s="25"/>
      <c r="F423" s="23"/>
    </row>
    <row r="424" spans="1:6" ht="22.5">
      <c r="A424" s="51" t="s">
        <v>70</v>
      </c>
      <c r="B424" s="27"/>
      <c r="C424" s="36"/>
      <c r="D424" s="38"/>
      <c r="E424" s="25"/>
      <c r="F424" s="23"/>
    </row>
    <row r="425" spans="1:6" ht="18">
      <c r="A425" s="36" t="s">
        <v>71</v>
      </c>
      <c r="B425" s="26">
        <f>+B324</f>
        <v>1500</v>
      </c>
      <c r="C425" s="36"/>
      <c r="D425" s="40">
        <f>+B425/B426</f>
        <v>0.0004201680672268908</v>
      </c>
      <c r="E425" s="25"/>
      <c r="F425" s="23"/>
    </row>
    <row r="426" spans="1:6" ht="18">
      <c r="A426" s="36"/>
      <c r="B426" s="27">
        <f>+B306</f>
        <v>3570000</v>
      </c>
      <c r="C426" s="36"/>
      <c r="D426" s="38"/>
      <c r="E426" s="25"/>
      <c r="F426" s="23"/>
    </row>
    <row r="427" spans="1:6" ht="18">
      <c r="A427" s="36"/>
      <c r="B427" s="27"/>
      <c r="C427" s="36"/>
      <c r="D427" s="38"/>
      <c r="E427" s="25"/>
      <c r="F427" s="23"/>
    </row>
    <row r="428" spans="1:6" ht="18">
      <c r="A428" s="36" t="s">
        <v>84</v>
      </c>
      <c r="B428" s="27"/>
      <c r="C428" s="36"/>
      <c r="D428" s="38"/>
      <c r="E428" s="25"/>
      <c r="F428" s="23"/>
    </row>
    <row r="429" spans="1:6" ht="18">
      <c r="A429" s="36" t="s">
        <v>148</v>
      </c>
      <c r="B429" s="27"/>
      <c r="C429" s="36"/>
      <c r="D429" s="38"/>
      <c r="E429" s="25"/>
      <c r="F429" s="23"/>
    </row>
    <row r="430" spans="1:6" ht="18">
      <c r="A430" s="36" t="s">
        <v>149</v>
      </c>
      <c r="B430" s="27"/>
      <c r="C430" s="36"/>
      <c r="D430" s="38"/>
      <c r="E430" s="25"/>
      <c r="F430" s="23"/>
    </row>
    <row r="431" spans="1:6" ht="18">
      <c r="A431" s="36" t="s">
        <v>85</v>
      </c>
      <c r="B431" s="36"/>
      <c r="C431" s="36"/>
      <c r="D431" s="38"/>
      <c r="E431" s="25"/>
      <c r="F431" s="23"/>
    </row>
    <row r="432" spans="1:6" ht="15">
      <c r="A432" s="19"/>
      <c r="B432" s="19"/>
      <c r="C432" s="19"/>
      <c r="D432" s="21"/>
      <c r="E432" s="20"/>
      <c r="F432" s="20"/>
    </row>
    <row r="433" spans="1:6" ht="15">
      <c r="A433" s="19"/>
      <c r="B433" s="19"/>
      <c r="C433" s="19"/>
      <c r="D433" s="21"/>
      <c r="E433" s="20"/>
      <c r="F433" s="20"/>
    </row>
    <row r="434" spans="1:6" ht="19.5">
      <c r="A434" s="31" t="s">
        <v>72</v>
      </c>
      <c r="B434" s="19"/>
      <c r="C434" s="19"/>
      <c r="D434" s="21"/>
      <c r="E434" s="20"/>
      <c r="F434" s="20"/>
    </row>
    <row r="435" spans="1:6" ht="15">
      <c r="A435" s="8" t="s">
        <v>73</v>
      </c>
      <c r="B435" s="16">
        <f>+B307</f>
        <v>2535420</v>
      </c>
      <c r="C435" s="8"/>
      <c r="D435" s="13">
        <f>+B435/B436</f>
        <v>0.7102016806722689</v>
      </c>
      <c r="E435" s="20"/>
      <c r="F435" s="20"/>
    </row>
    <row r="436" spans="1:6" ht="15">
      <c r="A436" s="8"/>
      <c r="B436" s="15">
        <f>+B306</f>
        <v>3570000</v>
      </c>
      <c r="C436" s="8"/>
      <c r="D436" s="8"/>
      <c r="E436" s="20"/>
      <c r="F436" s="20"/>
    </row>
    <row r="437" spans="1:6" ht="15">
      <c r="A437" s="8"/>
      <c r="B437" s="8"/>
      <c r="C437" s="8"/>
      <c r="D437" s="8"/>
      <c r="E437" s="20"/>
      <c r="F437" s="20"/>
    </row>
    <row r="438" spans="1:6" ht="15">
      <c r="A438" s="8" t="s">
        <v>74</v>
      </c>
      <c r="B438" s="16">
        <f>+B310</f>
        <v>160000</v>
      </c>
      <c r="C438" s="8"/>
      <c r="D438" s="13">
        <f>+B438/B439</f>
        <v>0.04481792717086835</v>
      </c>
      <c r="E438" s="20"/>
      <c r="F438" s="20"/>
    </row>
    <row r="439" spans="1:6" ht="15">
      <c r="A439" s="8"/>
      <c r="B439" s="15">
        <f>+B306</f>
        <v>3570000</v>
      </c>
      <c r="C439" s="8"/>
      <c r="D439" s="8"/>
      <c r="E439" s="20"/>
      <c r="F439" s="20"/>
    </row>
    <row r="440" spans="1:6" ht="15">
      <c r="A440" s="8"/>
      <c r="B440" s="8"/>
      <c r="C440" s="8"/>
      <c r="D440" s="8"/>
      <c r="E440" s="20"/>
      <c r="F440" s="20"/>
    </row>
    <row r="441" spans="1:6" ht="15">
      <c r="A441" s="8" t="s">
        <v>75</v>
      </c>
      <c r="B441" s="16">
        <f>+B312</f>
        <v>300000</v>
      </c>
      <c r="C441" s="8"/>
      <c r="D441" s="13">
        <f>+B441/B442</f>
        <v>0.08403361344537816</v>
      </c>
      <c r="E441" s="20"/>
      <c r="F441" s="20"/>
    </row>
    <row r="442" spans="1:6" ht="15">
      <c r="A442" s="8"/>
      <c r="B442" s="12">
        <f>+B306</f>
        <v>3570000</v>
      </c>
      <c r="C442" s="8"/>
      <c r="D442" s="8"/>
      <c r="E442" s="20"/>
      <c r="F442" s="20"/>
    </row>
    <row r="443" spans="1:6" ht="15">
      <c r="A443" s="8"/>
      <c r="B443" s="8"/>
      <c r="C443" s="8"/>
      <c r="D443" s="8"/>
      <c r="E443" s="20"/>
      <c r="F443" s="20"/>
    </row>
    <row r="444" spans="1:6" ht="15">
      <c r="A444" s="8" t="s">
        <v>76</v>
      </c>
      <c r="B444" s="16">
        <f>+B318</f>
        <v>500000</v>
      </c>
      <c r="C444" s="8"/>
      <c r="D444" s="13">
        <f>+B444/B445</f>
        <v>0.1400560224089636</v>
      </c>
      <c r="E444" s="20"/>
      <c r="F444" s="20">
        <f>0.8*84</f>
        <v>67.2</v>
      </c>
    </row>
    <row r="445" spans="1:6" ht="15">
      <c r="A445" s="8"/>
      <c r="B445" s="15">
        <f>+B306</f>
        <v>3570000</v>
      </c>
      <c r="C445" s="8"/>
      <c r="D445" s="8"/>
      <c r="E445" s="20"/>
      <c r="F445" s="20"/>
    </row>
    <row r="446" spans="1:4" ht="15">
      <c r="A446" s="5"/>
      <c r="B446" s="41"/>
      <c r="C446" s="41"/>
      <c r="D446" s="41"/>
    </row>
    <row r="447" spans="1:4" ht="15">
      <c r="A447" s="5"/>
      <c r="B447" s="41"/>
      <c r="C447" s="41"/>
      <c r="D447" s="41"/>
    </row>
    <row r="448" ht="15">
      <c r="A448" s="36" t="s">
        <v>150</v>
      </c>
    </row>
    <row r="449" ht="15">
      <c r="A449" s="36" t="s">
        <v>151</v>
      </c>
    </row>
    <row r="450" ht="15">
      <c r="A450" s="36" t="s">
        <v>152</v>
      </c>
    </row>
    <row r="451" ht="15">
      <c r="A451" s="36" t="s">
        <v>153</v>
      </c>
    </row>
    <row r="452" ht="15">
      <c r="A452" s="36" t="s">
        <v>154</v>
      </c>
    </row>
    <row r="453" ht="15">
      <c r="A453" s="36" t="s">
        <v>155</v>
      </c>
    </row>
    <row r="456" spans="1:2" ht="15">
      <c r="A456" s="36" t="s">
        <v>176</v>
      </c>
      <c r="B456" s="133">
        <f>+B316</f>
        <v>574580</v>
      </c>
    </row>
    <row r="457" spans="1:2" ht="15">
      <c r="A457" s="36"/>
      <c r="B457" t="str">
        <f>+A169</f>
        <v>La rotación de las CxC es muy buena, es decir el período en que cobra lo vendido, ya que</v>
      </c>
    </row>
    <row r="458" ht="15">
      <c r="A458" s="36"/>
    </row>
    <row r="459" ht="15">
      <c r="A459" s="36"/>
    </row>
    <row r="460" ht="15">
      <c r="A460" s="36"/>
    </row>
    <row r="461" ht="15">
      <c r="A461" s="36"/>
    </row>
    <row r="462" ht="15">
      <c r="A462" s="36"/>
    </row>
    <row r="463" ht="15">
      <c r="A463" s="36"/>
    </row>
    <row r="464" ht="15">
      <c r="A464" s="36"/>
    </row>
    <row r="465" ht="15">
      <c r="A465" s="36"/>
    </row>
    <row r="466" ht="15">
      <c r="A466" s="36"/>
    </row>
    <row r="467" ht="15">
      <c r="A467" s="36"/>
    </row>
    <row r="468" ht="15">
      <c r="A468" s="36"/>
    </row>
    <row r="469" ht="15">
      <c r="A469" s="36"/>
    </row>
    <row r="470" ht="15">
      <c r="A470" s="36"/>
    </row>
    <row r="471" ht="15">
      <c r="A471" s="36"/>
    </row>
    <row r="472" ht="15">
      <c r="A472" s="36"/>
    </row>
    <row r="473" ht="15">
      <c r="A473" s="36"/>
    </row>
    <row r="474" ht="15">
      <c r="A474" s="36"/>
    </row>
    <row r="475" ht="15">
      <c r="A475" s="36"/>
    </row>
    <row r="476" ht="15">
      <c r="A476" s="36"/>
    </row>
    <row r="477" ht="15">
      <c r="A477" s="36"/>
    </row>
    <row r="478" ht="15">
      <c r="A478" s="36"/>
    </row>
    <row r="479" ht="15">
      <c r="A479" s="36"/>
    </row>
    <row r="480" ht="15">
      <c r="A480" s="36"/>
    </row>
    <row r="481" ht="15">
      <c r="A481" s="36"/>
    </row>
    <row r="482" ht="15">
      <c r="A482" s="36"/>
    </row>
    <row r="483" ht="15">
      <c r="A483" s="36"/>
    </row>
    <row r="484" ht="15">
      <c r="A484" s="36"/>
    </row>
    <row r="485" ht="15">
      <c r="A485" s="36"/>
    </row>
    <row r="486" ht="15">
      <c r="A486" s="36"/>
    </row>
    <row r="487" ht="15">
      <c r="A487" s="36"/>
    </row>
    <row r="488" ht="15">
      <c r="A488" s="36"/>
    </row>
    <row r="489" ht="15">
      <c r="A489" s="36"/>
    </row>
    <row r="490" ht="15">
      <c r="A490" s="36"/>
    </row>
    <row r="491" ht="15">
      <c r="A491" s="36"/>
    </row>
    <row r="492" ht="15">
      <c r="A492" s="36"/>
    </row>
    <row r="493" ht="15">
      <c r="A493" s="36"/>
    </row>
    <row r="494" ht="15">
      <c r="A494" s="36"/>
    </row>
  </sheetData>
  <sheetProtection/>
  <printOptions horizontalCentered="1" verticalCentered="1"/>
  <pageMargins left="0.7874015748031497" right="0.7874015748031497" top="0" bottom="0" header="0" footer="0"/>
  <pageSetup horizontalDpi="300" verticalDpi="3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.28125" style="0" customWidth="1"/>
    <col min="2" max="2" width="33.140625" style="0" bestFit="1" customWidth="1"/>
    <col min="3" max="3" width="10.7109375" style="0" bestFit="1" customWidth="1"/>
    <col min="4" max="4" width="14.57421875" style="0" bestFit="1" customWidth="1"/>
    <col min="5" max="5" width="13.140625" style="0" bestFit="1" customWidth="1"/>
  </cols>
  <sheetData/>
  <sheetProtection/>
  <printOptions horizontalCentered="1" verticalCentered="1"/>
  <pageMargins left="0.75" right="0.75" top="1" bottom="1" header="0" footer="0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1.8515625" style="0" customWidth="1"/>
    <col min="2" max="3" width="13.57421875" style="0" bestFit="1" customWidth="1"/>
    <col min="4" max="4" width="5.421875" style="0" customWidth="1"/>
    <col min="5" max="7" width="14.140625" style="0" bestFit="1" customWidth="1"/>
  </cols>
  <sheetData/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Héctor Marín</dc:creator>
  <cp:keywords/>
  <dc:description/>
  <cp:lastModifiedBy>HéctorJ</cp:lastModifiedBy>
  <cp:lastPrinted>2005-01-26T22:39:36Z</cp:lastPrinted>
  <dcterms:created xsi:type="dcterms:W3CDTF">2002-09-19T15:57:30Z</dcterms:created>
  <dcterms:modified xsi:type="dcterms:W3CDTF">2020-07-28T18:18:10Z</dcterms:modified>
  <cp:category/>
  <cp:version/>
  <cp:contentType/>
  <cp:contentStatus/>
</cp:coreProperties>
</file>